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charts/chart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14.xml" ContentType="application/vnd.openxmlformats-officedocument.drawing+xml"/>
  <Override PartName="/xl/comments1.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5.xml" ContentType="application/vnd.openxmlformats-officedocument.drawingml.chartshapes+xml"/>
  <Override PartName="/xl/charts/chart12.xml" ContentType="application/vnd.openxmlformats-officedocument.drawingml.chart+xml"/>
  <Override PartName="/xl/drawings/drawing16.xml" ContentType="application/vnd.openxmlformats-officedocument.drawingml.chartshape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17.xml" ContentType="application/vnd.openxmlformats-officedocument.drawing+xml"/>
  <Override PartName="/xl/comments2.xml" ContentType="application/vnd.openxmlformats-officedocument.spreadsheetml.comments+xml"/>
  <Override PartName="/xl/charts/chart27.xml" ContentType="application/vnd.openxmlformats-officedocument.drawingml.chart+xml"/>
  <Override PartName="/xl/drawings/drawing18.xml" ContentType="application/vnd.openxmlformats-officedocument.drawingml.chartshapes+xml"/>
  <Override PartName="/xl/charts/chart28.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omments3.xml" ContentType="application/vnd.openxmlformats-officedocument.spreadsheetml.comments+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21.xml" ContentType="application/vnd.openxmlformats-officedocument.drawing+xml"/>
  <Override PartName="/xl/charts/chart3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dc.gov\private\M109\buu8\buu8 12-12-06\HEMU\Anthrax Info and Decisions\manuscript\EID submission Versions\Copy editing_post acceptance\"/>
    </mc:Choice>
  </mc:AlternateContent>
  <bookViews>
    <workbookView xWindow="0" yWindow="0" windowWidth="17472" windowHeight="6336" tabRatio="840"/>
  </bookViews>
  <sheets>
    <sheet name="TABLE OF CONTENTS" sheetId="5" r:id="rId1"/>
    <sheet name="INTRODUCTION" sheetId="6" r:id="rId2"/>
    <sheet name="GETTING STARTED" sheetId="13" r:id="rId3"/>
    <sheet name="INTERPRETATION IN A REAL EVENT" sheetId="23" r:id="rId4"/>
    <sheet name="Timeline" sheetId="1" r:id="rId5"/>
    <sheet name="CASE_COUNTS" sheetId="8" r:id="rId6"/>
    <sheet name="INCUBATION" sheetId="7" r:id="rId7"/>
    <sheet name="Info Inputs ORIG" sheetId="4" state="hidden" r:id="rId8"/>
    <sheet name="PEP_Decisions" sheetId="18" r:id="rId9"/>
    <sheet name="IMPACT_ON_HLTHCARE" sheetId="19" r:id="rId10"/>
    <sheet name="Epi-Curve Model" sheetId="11" r:id="rId11"/>
    <sheet name="PEP Impact Model" sheetId="12" r:id="rId12"/>
    <sheet name="Healthcare_Model" sheetId="17" r:id="rId13"/>
    <sheet name="Sverdlovsk Case Series" sheetId="22" r:id="rId14"/>
  </sheets>
  <definedNames>
    <definedName name="conBig">9.99999999999999E+307</definedName>
    <definedName name="conZzz">"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definedName>
    <definedName name="Initial_I" localSheetId="12">#REF!</definedName>
    <definedName name="Initial_I" localSheetId="9">#REF!</definedName>
    <definedName name="Initial_I" localSheetId="3">#REF!</definedName>
    <definedName name="Initial_I" localSheetId="8">#REF!</definedName>
    <definedName name="Initial_I">#REF!</definedName>
    <definedName name="No" localSheetId="12">#REF!</definedName>
    <definedName name="No" localSheetId="9">IMPACT_ON_HLTHCARE!#REF!</definedName>
    <definedName name="No" localSheetId="6">INCUBATION!#REF!</definedName>
    <definedName name="No" localSheetId="3">#REF!</definedName>
    <definedName name="No" localSheetId="8">PEP_Decisions!#REF!</definedName>
    <definedName name="No">#REF!</definedName>
    <definedName name="OverallSympHospitalized" localSheetId="12">#REF!</definedName>
    <definedName name="OverallSympHospitalized" localSheetId="9">#REF!</definedName>
    <definedName name="OverallSympHospitalized" localSheetId="3">#REF!</definedName>
    <definedName name="OverallSympHospitalized" localSheetId="8">#REF!</definedName>
    <definedName name="OverallSympHospitalized">#REF!</definedName>
    <definedName name="_xlnm.Print_Area" localSheetId="4">Timeline!$C$4:$BN$44</definedName>
    <definedName name="_xlnm.Print_Titles" localSheetId="4">Timeline!$C:$C,Timeline!$7:$30</definedName>
    <definedName name="s" localSheetId="12">#REF!</definedName>
    <definedName name="s" localSheetId="9">#REF!</definedName>
    <definedName name="s" localSheetId="3">#REF!</definedName>
    <definedName name="s" localSheetId="8">#REF!</definedName>
    <definedName name="s">#REF!</definedName>
    <definedName name="TotalPop" localSheetId="12">#REF!</definedName>
    <definedName name="TotalPop" localSheetId="9">#REF!</definedName>
    <definedName name="TotalPop" localSheetId="3">#REF!</definedName>
    <definedName name="TotalPop" localSheetId="8">#REF!</definedName>
    <definedName name="TotalPop">#REF!</definedName>
    <definedName name="u" localSheetId="12">#REF!</definedName>
    <definedName name="u" localSheetId="9">#REF!</definedName>
    <definedName name="u" localSheetId="3">#REF!</definedName>
    <definedName name="u" localSheetId="8">#REF!</definedName>
    <definedName name="u">#REF!</definedName>
    <definedName name="vbLf">CHAR(10)</definedName>
    <definedName name="x" localSheetId="12">#REF!</definedName>
    <definedName name="x" localSheetId="9">#REF!</definedName>
    <definedName name="x" localSheetId="3">#REF!</definedName>
    <definedName name="x" localSheetId="8">#REF!</definedName>
    <definedName name="x">#REF!</definedName>
    <definedName name="YES_NO" localSheetId="3">CASE_COUNTS!#REF!</definedName>
    <definedName name="YES_NO">CASE_COUNTS!#REF!</definedName>
  </definedNames>
  <calcPr calcId="152511"/>
</workbook>
</file>

<file path=xl/calcChain.xml><?xml version="1.0" encoding="utf-8"?>
<calcChain xmlns="http://schemas.openxmlformats.org/spreadsheetml/2006/main">
  <c r="D5" i="22" l="1"/>
  <c r="D6" i="22"/>
  <c r="D7" i="22"/>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 i="22"/>
  <c r="AP119" i="17" l="1"/>
  <c r="AP120" i="17"/>
  <c r="AP121" i="17"/>
  <c r="AP122" i="17"/>
  <c r="AP118" i="17"/>
  <c r="AN119" i="17"/>
  <c r="AN120" i="17"/>
  <c r="AN121" i="17"/>
  <c r="AN122" i="17"/>
  <c r="AN118" i="17"/>
  <c r="AN117" i="17"/>
  <c r="U119" i="17"/>
  <c r="U120" i="17"/>
  <c r="U121" i="17"/>
  <c r="U122" i="17"/>
  <c r="U118" i="17"/>
  <c r="S119" i="17"/>
  <c r="S120" i="17"/>
  <c r="S121" i="17"/>
  <c r="S122" i="17"/>
  <c r="S118" i="17"/>
  <c r="AP117" i="17"/>
  <c r="M196" i="17"/>
  <c r="M195" i="17"/>
  <c r="M194" i="17"/>
  <c r="M193" i="17"/>
  <c r="M192" i="17"/>
  <c r="M191" i="17"/>
  <c r="M190" i="17"/>
  <c r="M189" i="17"/>
  <c r="M188" i="17"/>
  <c r="M187" i="17"/>
  <c r="M186" i="17"/>
  <c r="M185" i="17"/>
  <c r="M184" i="17"/>
  <c r="M183" i="17"/>
  <c r="M182" i="17"/>
  <c r="M181" i="17"/>
  <c r="M180" i="17"/>
  <c r="M179" i="17"/>
  <c r="M178" i="17"/>
  <c r="M177" i="17"/>
  <c r="M176" i="17"/>
  <c r="M175" i="17"/>
  <c r="M174" i="17"/>
  <c r="M173" i="17"/>
  <c r="M172" i="17"/>
  <c r="M171" i="17"/>
  <c r="M170" i="17"/>
  <c r="M169" i="17"/>
  <c r="M168" i="17"/>
  <c r="M167" i="17"/>
  <c r="M166" i="17"/>
  <c r="M165" i="17"/>
  <c r="M164" i="17"/>
  <c r="M163" i="17"/>
  <c r="M162" i="17"/>
  <c r="M161" i="17"/>
  <c r="M160" i="17"/>
  <c r="M159" i="17"/>
  <c r="M158" i="17"/>
  <c r="M157" i="17"/>
  <c r="M156" i="17"/>
  <c r="M155" i="17"/>
  <c r="M154" i="17"/>
  <c r="M153" i="17"/>
  <c r="M152" i="17"/>
  <c r="M151" i="17"/>
  <c r="M150" i="17"/>
  <c r="M149" i="17"/>
  <c r="M148" i="17"/>
  <c r="M147" i="17"/>
  <c r="M146" i="17"/>
  <c r="M145" i="17"/>
  <c r="M144" i="17"/>
  <c r="M143" i="17"/>
  <c r="M142" i="17"/>
  <c r="M141" i="17"/>
  <c r="M140" i="17"/>
  <c r="M139" i="17"/>
  <c r="M138" i="17"/>
  <c r="M137" i="17"/>
  <c r="M136" i="17"/>
  <c r="M135" i="17"/>
  <c r="M134" i="17"/>
  <c r="M133" i="17"/>
  <c r="M132" i="17"/>
  <c r="M131" i="17"/>
  <c r="M130" i="17"/>
  <c r="M129" i="17"/>
  <c r="M128" i="17"/>
  <c r="M127" i="17"/>
  <c r="M126" i="17"/>
  <c r="M125" i="17"/>
  <c r="M124" i="17"/>
  <c r="M123" i="17"/>
  <c r="M122" i="17"/>
  <c r="M121" i="17"/>
  <c r="M120" i="17"/>
  <c r="M119" i="17"/>
  <c r="M118" i="17"/>
  <c r="U117" i="17"/>
  <c r="S117" i="17"/>
  <c r="M117" i="17"/>
  <c r="AN29" i="17"/>
  <c r="AN30" i="17"/>
  <c r="AN31" i="17"/>
  <c r="AN32" i="17"/>
  <c r="AN28" i="17"/>
  <c r="AN27" i="17"/>
  <c r="S29" i="17"/>
  <c r="S30" i="17"/>
  <c r="S31" i="17"/>
  <c r="S32" i="17"/>
  <c r="S28" i="17"/>
  <c r="S27" i="17"/>
  <c r="AP28" i="17" l="1"/>
  <c r="U29" i="17"/>
  <c r="U30" i="17"/>
  <c r="U31" i="17"/>
  <c r="U32" i="17"/>
  <c r="U28" i="17"/>
  <c r="U27" i="17"/>
  <c r="D13" i="17" l="1"/>
  <c r="M28" i="17" l="1"/>
  <c r="M32" i="17"/>
  <c r="M36" i="17"/>
  <c r="M40" i="17"/>
  <c r="M44" i="17"/>
  <c r="M48" i="17"/>
  <c r="M52" i="17"/>
  <c r="M56" i="17"/>
  <c r="M60" i="17"/>
  <c r="M64" i="17"/>
  <c r="M68" i="17"/>
  <c r="M72" i="17"/>
  <c r="M76" i="17"/>
  <c r="M80" i="17"/>
  <c r="M84" i="17"/>
  <c r="M88" i="17"/>
  <c r="M92" i="17"/>
  <c r="M96" i="17"/>
  <c r="M100" i="17"/>
  <c r="M104" i="17"/>
  <c r="M34" i="17"/>
  <c r="M38" i="17"/>
  <c r="M46" i="17"/>
  <c r="M54" i="17"/>
  <c r="M62" i="17"/>
  <c r="M70" i="17"/>
  <c r="M78" i="17"/>
  <c r="M86" i="17"/>
  <c r="M94" i="17"/>
  <c r="M102" i="17"/>
  <c r="M31" i="17"/>
  <c r="M39" i="17"/>
  <c r="M47" i="17"/>
  <c r="M55" i="17"/>
  <c r="M63" i="17"/>
  <c r="M67" i="17"/>
  <c r="M75" i="17"/>
  <c r="M83" i="17"/>
  <c r="M91" i="17"/>
  <c r="M99" i="17"/>
  <c r="M27" i="17"/>
  <c r="M29" i="17"/>
  <c r="M33" i="17"/>
  <c r="M37" i="17"/>
  <c r="M41" i="17"/>
  <c r="M45" i="17"/>
  <c r="M49" i="17"/>
  <c r="M53" i="17"/>
  <c r="M57" i="17"/>
  <c r="M61" i="17"/>
  <c r="M65" i="17"/>
  <c r="M69" i="17"/>
  <c r="M73" i="17"/>
  <c r="M77" i="17"/>
  <c r="M81" i="17"/>
  <c r="M85" i="17"/>
  <c r="M89" i="17"/>
  <c r="M93" i="17"/>
  <c r="M97" i="17"/>
  <c r="M101" i="17"/>
  <c r="M105" i="17"/>
  <c r="M30" i="17"/>
  <c r="M42" i="17"/>
  <c r="M50" i="17"/>
  <c r="M58" i="17"/>
  <c r="M66" i="17"/>
  <c r="M74" i="17"/>
  <c r="M82" i="17"/>
  <c r="M90" i="17"/>
  <c r="M98" i="17"/>
  <c r="M106" i="17"/>
  <c r="M35" i="17"/>
  <c r="M43" i="17"/>
  <c r="M51" i="17"/>
  <c r="M59" i="17"/>
  <c r="M71" i="17"/>
  <c r="M79" i="17"/>
  <c r="M87" i="17"/>
  <c r="M95" i="17"/>
  <c r="M103" i="17"/>
  <c r="I17" i="11"/>
  <c r="I18" i="11"/>
  <c r="H17" i="11"/>
  <c r="H18" i="11"/>
  <c r="G18" i="11"/>
  <c r="N8" i="11" l="1"/>
  <c r="AS52" i="11" s="1"/>
  <c r="O8" i="11"/>
  <c r="AS53" i="11" s="1"/>
  <c r="N9" i="11"/>
  <c r="AM52" i="11" s="1"/>
  <c r="O9" i="11"/>
  <c r="AM53" i="11" s="1"/>
  <c r="O7" i="11"/>
  <c r="I15" i="7" s="1"/>
  <c r="N7" i="11"/>
  <c r="I14" i="7" s="1"/>
  <c r="AM61" i="11" l="1"/>
  <c r="AM65" i="11"/>
  <c r="AM69" i="11"/>
  <c r="AM73" i="11"/>
  <c r="AN73" i="11" s="1"/>
  <c r="AM77" i="11"/>
  <c r="AM81" i="11"/>
  <c r="AM85" i="11"/>
  <c r="AN85" i="11" s="1"/>
  <c r="AM89" i="11"/>
  <c r="AM93" i="11"/>
  <c r="AM97" i="11"/>
  <c r="AM101" i="11"/>
  <c r="AM105" i="11"/>
  <c r="AN105" i="11" s="1"/>
  <c r="AM109" i="11"/>
  <c r="AM113" i="11"/>
  <c r="AM57" i="11"/>
  <c r="AN57" i="11" s="1"/>
  <c r="AM58" i="11"/>
  <c r="AN58" i="11" s="1"/>
  <c r="AM62" i="11"/>
  <c r="AN62" i="11" s="1"/>
  <c r="AM66" i="11"/>
  <c r="AN66" i="11" s="1"/>
  <c r="AM70" i="11"/>
  <c r="AN70" i="11" s="1"/>
  <c r="AM74" i="11"/>
  <c r="AN74" i="11" s="1"/>
  <c r="AM78" i="11"/>
  <c r="AN78" i="11" s="1"/>
  <c r="AM82" i="11"/>
  <c r="AN82" i="11" s="1"/>
  <c r="AM86" i="11"/>
  <c r="AN86" i="11" s="1"/>
  <c r="AM90" i="11"/>
  <c r="AN90" i="11" s="1"/>
  <c r="AM94" i="11"/>
  <c r="AN94" i="11" s="1"/>
  <c r="AM98" i="11"/>
  <c r="AN98" i="11" s="1"/>
  <c r="AM102" i="11"/>
  <c r="AN102" i="11" s="1"/>
  <c r="AM106" i="11"/>
  <c r="AN106" i="11" s="1"/>
  <c r="AM110" i="11"/>
  <c r="AN110" i="11" s="1"/>
  <c r="AM114" i="11"/>
  <c r="AN114" i="11" s="1"/>
  <c r="AM63" i="11"/>
  <c r="AM71" i="11"/>
  <c r="AN71" i="11" s="1"/>
  <c r="AM79" i="11"/>
  <c r="AN79" i="11" s="1"/>
  <c r="AM87" i="11"/>
  <c r="AM95" i="11"/>
  <c r="AM103" i="11"/>
  <c r="AN103" i="11" s="1"/>
  <c r="AM111" i="11"/>
  <c r="AN111" i="11" s="1"/>
  <c r="AM64" i="11"/>
  <c r="AM72" i="11"/>
  <c r="AM80" i="11"/>
  <c r="AM88" i="11"/>
  <c r="AN88" i="11" s="1"/>
  <c r="AM96" i="11"/>
  <c r="AM104" i="11"/>
  <c r="AM112" i="11"/>
  <c r="AM67" i="11"/>
  <c r="AN67" i="11" s="1"/>
  <c r="AM83" i="11"/>
  <c r="AN83" i="11" s="1"/>
  <c r="AM99" i="11"/>
  <c r="AN99" i="11" s="1"/>
  <c r="AM115" i="11"/>
  <c r="AN115" i="11" s="1"/>
  <c r="AM59" i="11"/>
  <c r="AM91" i="11"/>
  <c r="AM76" i="11"/>
  <c r="AM108" i="11"/>
  <c r="AN108" i="11" s="1"/>
  <c r="AM68" i="11"/>
  <c r="AN68" i="11" s="1"/>
  <c r="AM84" i="11"/>
  <c r="AN84" i="11" s="1"/>
  <c r="AM100" i="11"/>
  <c r="AN100" i="11" s="1"/>
  <c r="AM116" i="11"/>
  <c r="AN116" i="11" s="1"/>
  <c r="AM75" i="11"/>
  <c r="AM107" i="11"/>
  <c r="AM60" i="11"/>
  <c r="AM92" i="11"/>
  <c r="AN92" i="11" s="1"/>
  <c r="AS61" i="11"/>
  <c r="AS65" i="11"/>
  <c r="AS69" i="11"/>
  <c r="AS73" i="11"/>
  <c r="AT73" i="11" s="1"/>
  <c r="AS77" i="11"/>
  <c r="AS81" i="11"/>
  <c r="AS85" i="11"/>
  <c r="AS89" i="11"/>
  <c r="AT89" i="11" s="1"/>
  <c r="AS93" i="11"/>
  <c r="AS97" i="11"/>
  <c r="AS101" i="11"/>
  <c r="AS105" i="11"/>
  <c r="AT105" i="11" s="1"/>
  <c r="AS109" i="11"/>
  <c r="AS113" i="11"/>
  <c r="AS57" i="11"/>
  <c r="AT57" i="11" s="1"/>
  <c r="AS58" i="11"/>
  <c r="AT58" i="11" s="1"/>
  <c r="AS62" i="11"/>
  <c r="AT62" i="11" s="1"/>
  <c r="AS66" i="11"/>
  <c r="AT66" i="11" s="1"/>
  <c r="AS70" i="11"/>
  <c r="AT70" i="11" s="1"/>
  <c r="AS74" i="11"/>
  <c r="AT74" i="11" s="1"/>
  <c r="AS78" i="11"/>
  <c r="AT78" i="11" s="1"/>
  <c r="AS82" i="11"/>
  <c r="AS86" i="11"/>
  <c r="AT86" i="11" s="1"/>
  <c r="AS90" i="11"/>
  <c r="AT90" i="11" s="1"/>
  <c r="AS94" i="11"/>
  <c r="AT94" i="11" s="1"/>
  <c r="AS98" i="11"/>
  <c r="AT98" i="11" s="1"/>
  <c r="AS102" i="11"/>
  <c r="AT102" i="11" s="1"/>
  <c r="AS106" i="11"/>
  <c r="AT106" i="11" s="1"/>
  <c r="AS110" i="11"/>
  <c r="AT110" i="11" s="1"/>
  <c r="AS114" i="11"/>
  <c r="AT114" i="11" s="1"/>
  <c r="AS63" i="11"/>
  <c r="AT63" i="11" s="1"/>
  <c r="AS71" i="11"/>
  <c r="AT71" i="11" s="1"/>
  <c r="AS79" i="11"/>
  <c r="AT79" i="11" s="1"/>
  <c r="AS87" i="11"/>
  <c r="AS95" i="11"/>
  <c r="AT95" i="11" s="1"/>
  <c r="AS103" i="11"/>
  <c r="AT103" i="11" s="1"/>
  <c r="AS111" i="11"/>
  <c r="AT111" i="11" s="1"/>
  <c r="AS59" i="11"/>
  <c r="AS75" i="11"/>
  <c r="AS91" i="11"/>
  <c r="AT91" i="11" s="1"/>
  <c r="AS107" i="11"/>
  <c r="AS64" i="11"/>
  <c r="AS72" i="11"/>
  <c r="AS80" i="11"/>
  <c r="AT80" i="11" s="1"/>
  <c r="AS88" i="11"/>
  <c r="AS96" i="11"/>
  <c r="AS104" i="11"/>
  <c r="AS112" i="11"/>
  <c r="AT112" i="11" s="1"/>
  <c r="AS67" i="11"/>
  <c r="AS83" i="11"/>
  <c r="AT83" i="11" s="1"/>
  <c r="AS99" i="11"/>
  <c r="AS68" i="11"/>
  <c r="AT68" i="11" s="1"/>
  <c r="AS100" i="11"/>
  <c r="AS60" i="11"/>
  <c r="AT60" i="11" s="1"/>
  <c r="AS92" i="11"/>
  <c r="AS76" i="11"/>
  <c r="AT76" i="11" s="1"/>
  <c r="AS108" i="11"/>
  <c r="AT108" i="11" s="1"/>
  <c r="AS84" i="11"/>
  <c r="AT84" i="11" s="1"/>
  <c r="AS115" i="11"/>
  <c r="AS116" i="11"/>
  <c r="AT116" i="11" s="1"/>
  <c r="B11" i="8"/>
  <c r="B12" i="8" s="1"/>
  <c r="B13" i="8" s="1"/>
  <c r="C407" i="11" s="1"/>
  <c r="D451" i="11"/>
  <c r="E451" i="11"/>
  <c r="F451" i="11"/>
  <c r="G451" i="11"/>
  <c r="D452" i="11"/>
  <c r="E452" i="11"/>
  <c r="F452" i="11"/>
  <c r="G452" i="11"/>
  <c r="D453" i="11"/>
  <c r="E453" i="11"/>
  <c r="F453" i="11"/>
  <c r="G453" i="11"/>
  <c r="D461" i="11"/>
  <c r="E461" i="11"/>
  <c r="F461" i="11"/>
  <c r="G461" i="11"/>
  <c r="D454" i="11"/>
  <c r="E454" i="11"/>
  <c r="F454" i="11"/>
  <c r="G454" i="11"/>
  <c r="D455" i="11"/>
  <c r="E455" i="11"/>
  <c r="F455" i="11"/>
  <c r="G455" i="11"/>
  <c r="D456" i="11"/>
  <c r="E456" i="11"/>
  <c r="F456" i="11"/>
  <c r="G456" i="11"/>
  <c r="D457" i="11"/>
  <c r="E457" i="11"/>
  <c r="F457" i="11"/>
  <c r="G457" i="11"/>
  <c r="D458" i="11"/>
  <c r="E458" i="11"/>
  <c r="F458" i="11"/>
  <c r="G458" i="11"/>
  <c r="D459" i="11"/>
  <c r="E459" i="11"/>
  <c r="F459" i="11"/>
  <c r="G459" i="11"/>
  <c r="D460" i="11"/>
  <c r="E460" i="11"/>
  <c r="F460" i="11"/>
  <c r="G460" i="11"/>
  <c r="D462" i="11"/>
  <c r="E462" i="11"/>
  <c r="F462" i="11"/>
  <c r="G462" i="11"/>
  <c r="D463" i="11"/>
  <c r="E463" i="11"/>
  <c r="F463" i="11"/>
  <c r="G463" i="11"/>
  <c r="D464" i="11"/>
  <c r="E464" i="11"/>
  <c r="F464" i="11"/>
  <c r="G464" i="11"/>
  <c r="D465" i="11"/>
  <c r="E465" i="11"/>
  <c r="F465" i="11"/>
  <c r="G465" i="11"/>
  <c r="D466" i="11"/>
  <c r="E466" i="11"/>
  <c r="F466" i="11"/>
  <c r="G466" i="11"/>
  <c r="D467" i="11"/>
  <c r="E467" i="11"/>
  <c r="F467" i="11"/>
  <c r="G467" i="11"/>
  <c r="D468" i="11"/>
  <c r="E468" i="11"/>
  <c r="F468" i="11"/>
  <c r="G468" i="11"/>
  <c r="D469" i="11"/>
  <c r="E469" i="11"/>
  <c r="F469" i="11"/>
  <c r="G469" i="11"/>
  <c r="D470" i="11"/>
  <c r="E470" i="11"/>
  <c r="F470" i="11"/>
  <c r="G470" i="11"/>
  <c r="D471" i="11"/>
  <c r="E471" i="11"/>
  <c r="F471" i="11"/>
  <c r="G471" i="11"/>
  <c r="D472" i="11"/>
  <c r="E472" i="11"/>
  <c r="F472" i="11"/>
  <c r="G472" i="11"/>
  <c r="D473" i="11"/>
  <c r="E473" i="11"/>
  <c r="F473" i="11"/>
  <c r="G473" i="11"/>
  <c r="D474" i="11"/>
  <c r="E474" i="11"/>
  <c r="F474" i="11"/>
  <c r="G474" i="11"/>
  <c r="D475" i="11"/>
  <c r="E475" i="11"/>
  <c r="F475" i="11"/>
  <c r="G475" i="11"/>
  <c r="D476" i="11"/>
  <c r="E476" i="11"/>
  <c r="F476" i="11"/>
  <c r="G476" i="11"/>
  <c r="D477" i="11"/>
  <c r="E477" i="11"/>
  <c r="F477" i="11"/>
  <c r="G477" i="11"/>
  <c r="D478" i="11"/>
  <c r="E478" i="11"/>
  <c r="F478" i="11"/>
  <c r="G478" i="11"/>
  <c r="D479" i="11"/>
  <c r="E479" i="11"/>
  <c r="F479" i="11"/>
  <c r="G479" i="11"/>
  <c r="D480" i="11"/>
  <c r="E480" i="11"/>
  <c r="F480" i="11"/>
  <c r="G480" i="11"/>
  <c r="D481" i="11"/>
  <c r="E481" i="11"/>
  <c r="F481" i="11"/>
  <c r="G481" i="11"/>
  <c r="D482" i="11"/>
  <c r="E482" i="11"/>
  <c r="F482" i="11"/>
  <c r="G482" i="11"/>
  <c r="D483" i="11"/>
  <c r="E483" i="11"/>
  <c r="F483" i="11"/>
  <c r="G483" i="11"/>
  <c r="D484" i="11"/>
  <c r="E484" i="11"/>
  <c r="F484" i="11"/>
  <c r="G484" i="11"/>
  <c r="D450" i="11"/>
  <c r="E450" i="11"/>
  <c r="F450" i="11"/>
  <c r="G450" i="11"/>
  <c r="D449" i="11"/>
  <c r="E449" i="11"/>
  <c r="F449" i="11"/>
  <c r="G449" i="11"/>
  <c r="D448" i="11"/>
  <c r="E448" i="11"/>
  <c r="F448" i="11"/>
  <c r="G448" i="11"/>
  <c r="D447" i="11"/>
  <c r="E447" i="11"/>
  <c r="F447" i="11"/>
  <c r="G447" i="11"/>
  <c r="D445" i="11"/>
  <c r="E445" i="11"/>
  <c r="F445" i="11"/>
  <c r="G445" i="11"/>
  <c r="D446" i="11"/>
  <c r="E446" i="11"/>
  <c r="F446" i="11"/>
  <c r="G446" i="11"/>
  <c r="D405" i="11"/>
  <c r="E405" i="11"/>
  <c r="F405" i="11"/>
  <c r="G405" i="11"/>
  <c r="D406" i="11"/>
  <c r="E406" i="11"/>
  <c r="F406" i="11"/>
  <c r="G406" i="11"/>
  <c r="D407" i="11"/>
  <c r="E407" i="11"/>
  <c r="F407" i="11"/>
  <c r="G407" i="11"/>
  <c r="D408" i="11"/>
  <c r="E408" i="11"/>
  <c r="F408" i="11"/>
  <c r="G408" i="11"/>
  <c r="D409" i="11"/>
  <c r="E409" i="11"/>
  <c r="F409" i="11"/>
  <c r="G409" i="11"/>
  <c r="D410" i="11"/>
  <c r="E410" i="11"/>
  <c r="F410" i="11"/>
  <c r="G410" i="11"/>
  <c r="D411" i="11"/>
  <c r="E411" i="11"/>
  <c r="F411" i="11"/>
  <c r="G411" i="11"/>
  <c r="D412" i="11"/>
  <c r="E412" i="11"/>
  <c r="F412" i="11"/>
  <c r="G412" i="11"/>
  <c r="D413" i="11"/>
  <c r="E413" i="11"/>
  <c r="F413" i="11"/>
  <c r="G413" i="11"/>
  <c r="D414" i="11"/>
  <c r="E414" i="11"/>
  <c r="F414" i="11"/>
  <c r="G414" i="11"/>
  <c r="D415" i="11"/>
  <c r="E415" i="11"/>
  <c r="F415" i="11"/>
  <c r="G415" i="11"/>
  <c r="D416" i="11"/>
  <c r="E416" i="11"/>
  <c r="F416" i="11"/>
  <c r="G416" i="11"/>
  <c r="D417" i="11"/>
  <c r="E417" i="11"/>
  <c r="F417" i="11"/>
  <c r="G417" i="11"/>
  <c r="D418" i="11"/>
  <c r="E418" i="11"/>
  <c r="F418" i="11"/>
  <c r="G418" i="11"/>
  <c r="D419" i="11"/>
  <c r="E419" i="11"/>
  <c r="F419" i="11"/>
  <c r="G419" i="11"/>
  <c r="D420" i="11"/>
  <c r="E420" i="11"/>
  <c r="F420" i="11"/>
  <c r="G420" i="11"/>
  <c r="D421" i="11"/>
  <c r="E421" i="11"/>
  <c r="F421" i="11"/>
  <c r="G421" i="11"/>
  <c r="D422" i="11"/>
  <c r="E422" i="11"/>
  <c r="F422" i="11"/>
  <c r="G422" i="11"/>
  <c r="D423" i="11"/>
  <c r="E423" i="11"/>
  <c r="F423" i="11"/>
  <c r="G423" i="11"/>
  <c r="D424" i="11"/>
  <c r="E424" i="11"/>
  <c r="F424" i="11"/>
  <c r="G424" i="11"/>
  <c r="D425" i="11"/>
  <c r="E425" i="11"/>
  <c r="F425" i="11"/>
  <c r="G425" i="11"/>
  <c r="D426" i="11"/>
  <c r="E426" i="11"/>
  <c r="F426" i="11"/>
  <c r="G426" i="11"/>
  <c r="D427" i="11"/>
  <c r="E427" i="11"/>
  <c r="F427" i="11"/>
  <c r="G427" i="11"/>
  <c r="D428" i="11"/>
  <c r="E428" i="11"/>
  <c r="F428" i="11"/>
  <c r="G428" i="11"/>
  <c r="D429" i="11"/>
  <c r="E429" i="11"/>
  <c r="F429" i="11"/>
  <c r="G429" i="11"/>
  <c r="D430" i="11"/>
  <c r="E430" i="11"/>
  <c r="F430" i="11"/>
  <c r="G430" i="11"/>
  <c r="D431" i="11"/>
  <c r="E431" i="11"/>
  <c r="F431" i="11"/>
  <c r="G431" i="11"/>
  <c r="D432" i="11"/>
  <c r="E432" i="11"/>
  <c r="F432" i="11"/>
  <c r="G432" i="11"/>
  <c r="D433" i="11"/>
  <c r="E433" i="11"/>
  <c r="F433" i="11"/>
  <c r="G433" i="11"/>
  <c r="D434" i="11"/>
  <c r="E434" i="11"/>
  <c r="F434" i="11"/>
  <c r="G434" i="11"/>
  <c r="D435" i="11"/>
  <c r="E435" i="11"/>
  <c r="F435" i="11"/>
  <c r="G435" i="11"/>
  <c r="D436" i="11"/>
  <c r="E436" i="11"/>
  <c r="F436" i="11"/>
  <c r="G436" i="11"/>
  <c r="D437" i="11"/>
  <c r="E437" i="11"/>
  <c r="F437" i="11"/>
  <c r="G437" i="11"/>
  <c r="D438" i="11"/>
  <c r="E438" i="11"/>
  <c r="F438" i="11"/>
  <c r="G438" i="11"/>
  <c r="D439" i="11"/>
  <c r="E439" i="11"/>
  <c r="F439" i="11"/>
  <c r="G439" i="11"/>
  <c r="D440" i="11"/>
  <c r="E440" i="11"/>
  <c r="F440" i="11"/>
  <c r="G440" i="11"/>
  <c r="D441" i="11"/>
  <c r="E441" i="11"/>
  <c r="F441" i="11"/>
  <c r="G441" i="11"/>
  <c r="D442" i="11"/>
  <c r="E442" i="11"/>
  <c r="F442" i="11"/>
  <c r="G442" i="11"/>
  <c r="D443" i="11"/>
  <c r="E443" i="11"/>
  <c r="F443" i="11"/>
  <c r="G443" i="11"/>
  <c r="D444" i="11"/>
  <c r="E444" i="11"/>
  <c r="F444" i="11"/>
  <c r="G444" i="11"/>
  <c r="D485" i="11"/>
  <c r="E485" i="11"/>
  <c r="F485" i="11"/>
  <c r="G485" i="11"/>
  <c r="D486" i="11"/>
  <c r="E486" i="11"/>
  <c r="F486" i="11"/>
  <c r="G486" i="11"/>
  <c r="D487" i="11"/>
  <c r="E487" i="11"/>
  <c r="F487" i="11"/>
  <c r="G487" i="11"/>
  <c r="D488" i="11"/>
  <c r="E488" i="11"/>
  <c r="F488" i="11"/>
  <c r="G488" i="11"/>
  <c r="D489" i="11"/>
  <c r="E489" i="11"/>
  <c r="F489" i="11"/>
  <c r="G489" i="11"/>
  <c r="D490" i="11"/>
  <c r="E490" i="11"/>
  <c r="F490" i="11"/>
  <c r="G490" i="11"/>
  <c r="D491" i="11"/>
  <c r="E491" i="11"/>
  <c r="F491" i="11"/>
  <c r="G491" i="11"/>
  <c r="D492" i="11"/>
  <c r="E492" i="11"/>
  <c r="F492" i="11"/>
  <c r="G492" i="11"/>
  <c r="D493" i="11"/>
  <c r="E493" i="11"/>
  <c r="F493" i="11"/>
  <c r="G493" i="11"/>
  <c r="D494" i="11"/>
  <c r="E494" i="11"/>
  <c r="F494" i="11"/>
  <c r="G494" i="11"/>
  <c r="D495" i="11"/>
  <c r="E495" i="11"/>
  <c r="F495" i="11"/>
  <c r="G495" i="11"/>
  <c r="D496" i="11"/>
  <c r="E496" i="11"/>
  <c r="F496" i="11"/>
  <c r="G496" i="11"/>
  <c r="D497" i="11"/>
  <c r="E497" i="11"/>
  <c r="F497" i="11"/>
  <c r="G497" i="11"/>
  <c r="D498" i="11"/>
  <c r="E498" i="11"/>
  <c r="F498" i="11"/>
  <c r="G498" i="11"/>
  <c r="D499" i="11"/>
  <c r="E499" i="11"/>
  <c r="F499" i="11"/>
  <c r="G499" i="11"/>
  <c r="D500" i="11"/>
  <c r="E500" i="11"/>
  <c r="F500" i="11"/>
  <c r="G500" i="11"/>
  <c r="D501" i="11"/>
  <c r="E501" i="11"/>
  <c r="F501" i="11"/>
  <c r="G501" i="11"/>
  <c r="D502" i="11"/>
  <c r="E502" i="11"/>
  <c r="F502" i="11"/>
  <c r="G502" i="11"/>
  <c r="D503" i="11"/>
  <c r="E503" i="11"/>
  <c r="F503" i="11"/>
  <c r="G503" i="11"/>
  <c r="D504" i="11"/>
  <c r="E504" i="11"/>
  <c r="F504" i="11"/>
  <c r="G504" i="11"/>
  <c r="D505" i="11"/>
  <c r="E505" i="11"/>
  <c r="F505" i="11"/>
  <c r="G505" i="11"/>
  <c r="D506" i="11"/>
  <c r="E506" i="11"/>
  <c r="F506" i="11"/>
  <c r="G506" i="11"/>
  <c r="D507" i="11"/>
  <c r="E507" i="11"/>
  <c r="F507" i="11"/>
  <c r="G507" i="11"/>
  <c r="D508" i="11"/>
  <c r="E508" i="11"/>
  <c r="F508" i="11"/>
  <c r="G508" i="11"/>
  <c r="D509" i="11"/>
  <c r="E509" i="11"/>
  <c r="F509" i="11"/>
  <c r="G509" i="11"/>
  <c r="D510" i="11"/>
  <c r="E510" i="11"/>
  <c r="F510" i="11"/>
  <c r="G510" i="11"/>
  <c r="D511" i="11"/>
  <c r="E511" i="11"/>
  <c r="F511" i="11"/>
  <c r="G511" i="11"/>
  <c r="D512" i="11"/>
  <c r="E512" i="11"/>
  <c r="F512" i="11"/>
  <c r="G512" i="11"/>
  <c r="D513" i="11"/>
  <c r="E513" i="11"/>
  <c r="F513" i="11"/>
  <c r="G513" i="11"/>
  <c r="D514" i="11"/>
  <c r="E514" i="11"/>
  <c r="F514" i="11"/>
  <c r="G514" i="11"/>
  <c r="D515" i="11"/>
  <c r="E515" i="11"/>
  <c r="F515" i="11"/>
  <c r="G515" i="11"/>
  <c r="D516" i="11"/>
  <c r="E516" i="11"/>
  <c r="F516" i="11"/>
  <c r="G516" i="11"/>
  <c r="D517" i="11"/>
  <c r="E517" i="11"/>
  <c r="F517" i="11"/>
  <c r="G517" i="11"/>
  <c r="D518" i="11"/>
  <c r="E518" i="11"/>
  <c r="F518" i="11"/>
  <c r="G518" i="11"/>
  <c r="D519" i="11"/>
  <c r="E519" i="11"/>
  <c r="F519" i="11"/>
  <c r="G519" i="11"/>
  <c r="D520" i="11"/>
  <c r="E520" i="11"/>
  <c r="F520" i="11"/>
  <c r="G520" i="11"/>
  <c r="D521" i="11"/>
  <c r="E521" i="11"/>
  <c r="F521" i="11"/>
  <c r="G521" i="11"/>
  <c r="D522" i="11"/>
  <c r="E522" i="11"/>
  <c r="F522" i="11"/>
  <c r="G522" i="11"/>
  <c r="D523" i="11"/>
  <c r="E523" i="11"/>
  <c r="F523" i="11"/>
  <c r="G523" i="11"/>
  <c r="D524" i="11"/>
  <c r="E524" i="11"/>
  <c r="F524" i="11"/>
  <c r="G524" i="11"/>
  <c r="D525" i="11"/>
  <c r="E525" i="11"/>
  <c r="F525" i="11"/>
  <c r="G525" i="11"/>
  <c r="D526" i="11"/>
  <c r="E526" i="11"/>
  <c r="F526" i="11"/>
  <c r="G526" i="11"/>
  <c r="D527" i="11"/>
  <c r="E527" i="11"/>
  <c r="F527" i="11"/>
  <c r="G527" i="11"/>
  <c r="D528" i="11"/>
  <c r="E528" i="11"/>
  <c r="F528" i="11"/>
  <c r="G528" i="11"/>
  <c r="D529" i="11"/>
  <c r="E529" i="11"/>
  <c r="F529" i="11"/>
  <c r="G529" i="11"/>
  <c r="D530" i="11"/>
  <c r="E530" i="11"/>
  <c r="F530" i="11"/>
  <c r="G530" i="11"/>
  <c r="D531" i="11"/>
  <c r="E531" i="11"/>
  <c r="F531" i="11"/>
  <c r="G531" i="11"/>
  <c r="D532" i="11"/>
  <c r="E532" i="11"/>
  <c r="F532" i="11"/>
  <c r="G532" i="11"/>
  <c r="D533" i="11"/>
  <c r="E533" i="11"/>
  <c r="F533" i="11"/>
  <c r="G533" i="11"/>
  <c r="D534" i="11"/>
  <c r="E534" i="11"/>
  <c r="F534" i="11"/>
  <c r="G534" i="11"/>
  <c r="D535" i="11"/>
  <c r="E535" i="11"/>
  <c r="F535" i="11"/>
  <c r="G535" i="11"/>
  <c r="D536" i="11"/>
  <c r="E536" i="11"/>
  <c r="F536" i="11"/>
  <c r="G536" i="11"/>
  <c r="D537" i="11"/>
  <c r="E537" i="11"/>
  <c r="F537" i="11"/>
  <c r="G537" i="11"/>
  <c r="D538" i="11"/>
  <c r="E538" i="11"/>
  <c r="F538" i="11"/>
  <c r="G538" i="11"/>
  <c r="D539" i="11"/>
  <c r="E539" i="11"/>
  <c r="F539" i="11"/>
  <c r="G539" i="11"/>
  <c r="D540" i="11"/>
  <c r="E540" i="11"/>
  <c r="F540" i="11"/>
  <c r="G540" i="11"/>
  <c r="D541" i="11"/>
  <c r="E541" i="11"/>
  <c r="F541" i="11"/>
  <c r="G541" i="11"/>
  <c r="D542" i="11"/>
  <c r="E542" i="11"/>
  <c r="F542" i="11"/>
  <c r="G542" i="11"/>
  <c r="D543" i="11"/>
  <c r="E543" i="11"/>
  <c r="F543" i="11"/>
  <c r="G543" i="11"/>
  <c r="D544" i="11"/>
  <c r="E544" i="11"/>
  <c r="F544" i="11"/>
  <c r="G544" i="11"/>
  <c r="D545" i="11"/>
  <c r="E545" i="11"/>
  <c r="F545" i="11"/>
  <c r="G545" i="11"/>
  <c r="D546" i="11"/>
  <c r="E546" i="11"/>
  <c r="F546" i="11"/>
  <c r="G546" i="11"/>
  <c r="D547" i="11"/>
  <c r="E547" i="11"/>
  <c r="F547" i="11"/>
  <c r="G547" i="11"/>
  <c r="D548" i="11"/>
  <c r="E548" i="11"/>
  <c r="F548" i="11"/>
  <c r="G548" i="11"/>
  <c r="D549" i="11"/>
  <c r="E549" i="11"/>
  <c r="F549" i="11"/>
  <c r="G549" i="11"/>
  <c r="D550" i="11"/>
  <c r="E550" i="11"/>
  <c r="F550" i="11"/>
  <c r="G550" i="11"/>
  <c r="D551" i="11"/>
  <c r="E551" i="11"/>
  <c r="F551" i="11"/>
  <c r="G551" i="11"/>
  <c r="D552" i="11"/>
  <c r="E552" i="11"/>
  <c r="F552" i="11"/>
  <c r="G552" i="11"/>
  <c r="D553" i="11"/>
  <c r="E553" i="11"/>
  <c r="F553" i="11"/>
  <c r="G553" i="11"/>
  <c r="D554" i="11"/>
  <c r="E554" i="11"/>
  <c r="F554" i="11"/>
  <c r="G554" i="11"/>
  <c r="D555" i="11"/>
  <c r="E555" i="11"/>
  <c r="F555" i="11"/>
  <c r="G555" i="11"/>
  <c r="D556" i="11"/>
  <c r="E556" i="11"/>
  <c r="F556" i="11"/>
  <c r="G556" i="11"/>
  <c r="D557" i="11"/>
  <c r="E557" i="11"/>
  <c r="F557" i="11"/>
  <c r="G557" i="11"/>
  <c r="D558" i="11"/>
  <c r="E558" i="11"/>
  <c r="F558" i="11"/>
  <c r="G558" i="11"/>
  <c r="D559" i="11"/>
  <c r="E559" i="11"/>
  <c r="F559" i="11"/>
  <c r="G559" i="11"/>
  <c r="D560" i="11"/>
  <c r="E560" i="11"/>
  <c r="F560" i="11"/>
  <c r="G560" i="11"/>
  <c r="D561" i="11"/>
  <c r="E561" i="11"/>
  <c r="F561" i="11"/>
  <c r="G561" i="11"/>
  <c r="D562" i="11"/>
  <c r="E562" i="11"/>
  <c r="F562" i="11"/>
  <c r="G562" i="11"/>
  <c r="D563" i="11"/>
  <c r="E563" i="11"/>
  <c r="F563" i="11"/>
  <c r="G563" i="11"/>
  <c r="D564" i="11"/>
  <c r="E564" i="11"/>
  <c r="F564" i="11"/>
  <c r="G564" i="11"/>
  <c r="D565" i="11"/>
  <c r="E565" i="11"/>
  <c r="F565" i="11"/>
  <c r="G565" i="11"/>
  <c r="D566" i="11"/>
  <c r="E566" i="11"/>
  <c r="F566" i="11"/>
  <c r="G566" i="11"/>
  <c r="D567" i="11"/>
  <c r="E567" i="11"/>
  <c r="F567" i="11"/>
  <c r="G567" i="11"/>
  <c r="D568" i="11"/>
  <c r="E568" i="11"/>
  <c r="F568" i="11"/>
  <c r="G568" i="11"/>
  <c r="D569" i="11"/>
  <c r="E569" i="11"/>
  <c r="F569" i="11"/>
  <c r="G569" i="11"/>
  <c r="D570" i="11"/>
  <c r="E570" i="11"/>
  <c r="F570" i="11"/>
  <c r="G570" i="11"/>
  <c r="D571" i="11"/>
  <c r="E571" i="11"/>
  <c r="F571" i="11"/>
  <c r="G571" i="11"/>
  <c r="D572" i="11"/>
  <c r="E572" i="11"/>
  <c r="F572" i="11"/>
  <c r="G572" i="11"/>
  <c r="D573" i="11"/>
  <c r="E573" i="11"/>
  <c r="F573" i="11"/>
  <c r="G573" i="11"/>
  <c r="D574" i="11"/>
  <c r="E574" i="11"/>
  <c r="F574" i="11"/>
  <c r="G574" i="11"/>
  <c r="D575" i="11"/>
  <c r="E575" i="11"/>
  <c r="F575" i="11"/>
  <c r="G575" i="11"/>
  <c r="D576" i="11"/>
  <c r="E576" i="11"/>
  <c r="F576" i="11"/>
  <c r="G576" i="11"/>
  <c r="D577" i="11"/>
  <c r="E577" i="11"/>
  <c r="F577" i="11"/>
  <c r="G577" i="11"/>
  <c r="D578" i="11"/>
  <c r="E578" i="11"/>
  <c r="F578" i="11"/>
  <c r="G578" i="11"/>
  <c r="D579" i="11"/>
  <c r="E579" i="11"/>
  <c r="F579" i="11"/>
  <c r="G579" i="11"/>
  <c r="D580" i="11"/>
  <c r="E580" i="11"/>
  <c r="F580" i="11"/>
  <c r="G580" i="11"/>
  <c r="D581" i="11"/>
  <c r="E581" i="11"/>
  <c r="F581" i="11"/>
  <c r="G581" i="11"/>
  <c r="D582" i="11"/>
  <c r="E582" i="11"/>
  <c r="F582" i="11"/>
  <c r="G582" i="11"/>
  <c r="D583" i="11"/>
  <c r="E583" i="11"/>
  <c r="F583" i="11"/>
  <c r="G583" i="11"/>
  <c r="D584" i="11"/>
  <c r="E584" i="11"/>
  <c r="F584" i="11"/>
  <c r="G584" i="11"/>
  <c r="D585" i="11"/>
  <c r="E585" i="11"/>
  <c r="F585" i="11"/>
  <c r="G585" i="11"/>
  <c r="D586" i="11"/>
  <c r="E586" i="11"/>
  <c r="F586" i="11"/>
  <c r="G586" i="11"/>
  <c r="D587" i="11"/>
  <c r="E587" i="11"/>
  <c r="F587" i="11"/>
  <c r="G587" i="11"/>
  <c r="D588" i="11"/>
  <c r="E588" i="11"/>
  <c r="F588" i="11"/>
  <c r="G588" i="11"/>
  <c r="D589" i="11"/>
  <c r="E589" i="11"/>
  <c r="F589" i="11"/>
  <c r="G589" i="11"/>
  <c r="D590" i="11"/>
  <c r="E590" i="11"/>
  <c r="F590" i="11"/>
  <c r="G590" i="11"/>
  <c r="D591" i="11"/>
  <c r="E591" i="11"/>
  <c r="F591" i="11"/>
  <c r="G591" i="11"/>
  <c r="D592" i="11"/>
  <c r="E592" i="11"/>
  <c r="F592" i="11"/>
  <c r="G592" i="11"/>
  <c r="D593" i="11"/>
  <c r="E593" i="11"/>
  <c r="F593" i="11"/>
  <c r="G593" i="11"/>
  <c r="D594" i="11"/>
  <c r="E594" i="11"/>
  <c r="F594" i="11"/>
  <c r="G594" i="11"/>
  <c r="D595" i="11"/>
  <c r="E595" i="11"/>
  <c r="F595" i="11"/>
  <c r="G595" i="11"/>
  <c r="D596" i="11"/>
  <c r="E596" i="11"/>
  <c r="F596" i="11"/>
  <c r="G596" i="11"/>
  <c r="D597" i="11"/>
  <c r="E597" i="11"/>
  <c r="F597" i="11"/>
  <c r="G597" i="11"/>
  <c r="D598" i="11"/>
  <c r="E598" i="11"/>
  <c r="F598" i="11"/>
  <c r="G598" i="11"/>
  <c r="D599" i="11"/>
  <c r="E599" i="11"/>
  <c r="F599" i="11"/>
  <c r="G599" i="11"/>
  <c r="D600" i="11"/>
  <c r="E600" i="11"/>
  <c r="F600" i="11"/>
  <c r="G600" i="11"/>
  <c r="D601" i="11"/>
  <c r="E601" i="11"/>
  <c r="F601" i="11"/>
  <c r="G601" i="11"/>
  <c r="AA52" i="11"/>
  <c r="AA53" i="11"/>
  <c r="E42" i="11"/>
  <c r="E43" i="11"/>
  <c r="E44" i="11"/>
  <c r="G17" i="11"/>
  <c r="H14" i="7" s="1"/>
  <c r="F44" i="11" s="1"/>
  <c r="F45" i="11" s="1"/>
  <c r="U52" i="11"/>
  <c r="U53" i="11"/>
  <c r="E46" i="11"/>
  <c r="E47" i="11" s="1"/>
  <c r="E198" i="11"/>
  <c r="E127" i="11"/>
  <c r="H121" i="11"/>
  <c r="G121" i="11"/>
  <c r="F121" i="11"/>
  <c r="E269" i="11"/>
  <c r="G16" i="18"/>
  <c r="D17" i="17"/>
  <c r="C17" i="17"/>
  <c r="E196" i="17"/>
  <c r="E195" i="17"/>
  <c r="E194" i="17"/>
  <c r="E193" i="17"/>
  <c r="E192" i="17"/>
  <c r="E191" i="17"/>
  <c r="E190" i="17"/>
  <c r="E189" i="17"/>
  <c r="E188" i="17"/>
  <c r="E187" i="17"/>
  <c r="E186" i="17"/>
  <c r="E185" i="17"/>
  <c r="E184" i="17"/>
  <c r="E183" i="17"/>
  <c r="E182" i="17"/>
  <c r="E181" i="17"/>
  <c r="E91" i="17"/>
  <c r="E92" i="17"/>
  <c r="E93" i="17"/>
  <c r="E94" i="17"/>
  <c r="E95" i="17"/>
  <c r="E96" i="17"/>
  <c r="E97" i="17"/>
  <c r="E98" i="17"/>
  <c r="E99" i="17"/>
  <c r="E100" i="17"/>
  <c r="F100" i="17" s="1"/>
  <c r="E101" i="17"/>
  <c r="E102" i="17"/>
  <c r="E103" i="17"/>
  <c r="E104" i="17"/>
  <c r="E105" i="17"/>
  <c r="E106" i="17"/>
  <c r="M2" i="19"/>
  <c r="M3" i="19"/>
  <c r="P3" i="19"/>
  <c r="M4" i="19"/>
  <c r="P4" i="19"/>
  <c r="M5" i="19"/>
  <c r="P5" i="19"/>
  <c r="AP32" i="17"/>
  <c r="AL117" i="17"/>
  <c r="AJ117" i="17"/>
  <c r="B114" i="17"/>
  <c r="D12" i="17"/>
  <c r="D11" i="17"/>
  <c r="C12" i="17"/>
  <c r="C11" i="17"/>
  <c r="D14" i="12"/>
  <c r="D13" i="12"/>
  <c r="D10" i="12"/>
  <c r="D18" i="12" s="1"/>
  <c r="H9" i="12"/>
  <c r="H8" i="12"/>
  <c r="D12" i="12"/>
  <c r="D8" i="12"/>
  <c r="D7" i="12"/>
  <c r="H7" i="12" s="1"/>
  <c r="BA64" i="11"/>
  <c r="AZ62" i="11" s="1"/>
  <c r="F55" i="11"/>
  <c r="J43" i="11" s="1"/>
  <c r="D16" i="1"/>
  <c r="CG10" i="1"/>
  <c r="CG11" i="1" s="1"/>
  <c r="CG12" i="1" s="1"/>
  <c r="CG13" i="1" s="1"/>
  <c r="CG14" i="1" s="1"/>
  <c r="CG15" i="1" s="1"/>
  <c r="CG16" i="1" s="1"/>
  <c r="CG17" i="1" s="1"/>
  <c r="CG18" i="1" s="1"/>
  <c r="CG19" i="1" s="1"/>
  <c r="CG20" i="1" s="1"/>
  <c r="CG21" i="1" s="1"/>
  <c r="CG22" i="1" s="1"/>
  <c r="CG23" i="1" s="1"/>
  <c r="CG24" i="1" s="1"/>
  <c r="CG25" i="1" s="1"/>
  <c r="CG26" i="1" s="1"/>
  <c r="CG27" i="1" s="1"/>
  <c r="CG28" i="1" s="1"/>
  <c r="CG29" i="1" s="1"/>
  <c r="CG30" i="1" s="1"/>
  <c r="CG31" i="1" s="1"/>
  <c r="CG32" i="1" s="1"/>
  <c r="CG33" i="1" s="1"/>
  <c r="CG34" i="1" s="1"/>
  <c r="CG35" i="1" s="1"/>
  <c r="CG36" i="1" s="1"/>
  <c r="CG37" i="1" s="1"/>
  <c r="CG38" i="1" s="1"/>
  <c r="CG39" i="1" s="1"/>
  <c r="CG40" i="1" s="1"/>
  <c r="CG41" i="1" s="1"/>
  <c r="CG42" i="1" s="1"/>
  <c r="CG43" i="1" s="1"/>
  <c r="CG44" i="1" s="1"/>
  <c r="CG45" i="1" s="1"/>
  <c r="CG46" i="1" s="1"/>
  <c r="CG47" i="1" s="1"/>
  <c r="CG48" i="1" s="1"/>
  <c r="CG49" i="1" s="1"/>
  <c r="CG50" i="1" s="1"/>
  <c r="CG51" i="1" s="1"/>
  <c r="AL27" i="17"/>
  <c r="AJ27" i="17"/>
  <c r="AP29" i="17"/>
  <c r="AP30" i="17"/>
  <c r="AP31" i="17"/>
  <c r="AP27" i="17"/>
  <c r="AX28" i="17"/>
  <c r="AX29" i="17"/>
  <c r="AX30" i="17"/>
  <c r="AX31" i="17"/>
  <c r="AX32" i="17"/>
  <c r="AX33" i="17"/>
  <c r="AX34" i="17"/>
  <c r="AX35" i="17"/>
  <c r="AX36" i="17"/>
  <c r="AX37" i="17"/>
  <c r="AX38" i="17"/>
  <c r="AX39" i="17"/>
  <c r="AX40" i="17"/>
  <c r="AX41" i="17"/>
  <c r="AX42" i="17"/>
  <c r="AX43" i="17"/>
  <c r="AX44" i="17"/>
  <c r="AX45" i="17"/>
  <c r="AX46" i="17"/>
  <c r="AX27" i="17"/>
  <c r="C82" i="17"/>
  <c r="C83" i="17"/>
  <c r="C84" i="17"/>
  <c r="C85" i="17"/>
  <c r="C86" i="17"/>
  <c r="C87" i="17" s="1"/>
  <c r="C88" i="17" s="1"/>
  <c r="C89" i="17" s="1"/>
  <c r="C90" i="17" s="1"/>
  <c r="C91" i="17" s="1"/>
  <c r="C92" i="17" s="1"/>
  <c r="C93" i="17" s="1"/>
  <c r="C94" i="17" s="1"/>
  <c r="C95" i="17" s="1"/>
  <c r="C96" i="17" s="1"/>
  <c r="C97" i="17" s="1"/>
  <c r="C98" i="17" s="1"/>
  <c r="C99" i="17" s="1"/>
  <c r="C100" i="17" s="1"/>
  <c r="C101" i="17" s="1"/>
  <c r="C102" i="17" s="1"/>
  <c r="C103" i="17" s="1"/>
  <c r="C104" i="17" s="1"/>
  <c r="C105" i="17" s="1"/>
  <c r="C106" i="17" s="1"/>
  <c r="C81" i="17"/>
  <c r="C80" i="17"/>
  <c r="C79" i="17"/>
  <c r="C78" i="17"/>
  <c r="C77" i="17"/>
  <c r="C76" i="17"/>
  <c r="C75" i="17"/>
  <c r="C74" i="17"/>
  <c r="C73" i="17"/>
  <c r="C72" i="17"/>
  <c r="C71" i="17"/>
  <c r="C70" i="17"/>
  <c r="C69" i="17"/>
  <c r="C68" i="17"/>
  <c r="C67" i="17"/>
  <c r="C66" i="17"/>
  <c r="C65" i="17"/>
  <c r="C64" i="17"/>
  <c r="C63" i="17"/>
  <c r="C62" i="17"/>
  <c r="C61" i="17"/>
  <c r="C60" i="17"/>
  <c r="C59" i="17"/>
  <c r="C58" i="17"/>
  <c r="C57" i="17"/>
  <c r="C56" i="17"/>
  <c r="C55" i="17"/>
  <c r="C54" i="17"/>
  <c r="C53" i="17"/>
  <c r="C52" i="17"/>
  <c r="C51" i="17"/>
  <c r="C50" i="17"/>
  <c r="C49" i="17"/>
  <c r="C48" i="17"/>
  <c r="C47" i="17"/>
  <c r="C46" i="17"/>
  <c r="C45" i="17"/>
  <c r="C44" i="17"/>
  <c r="C43" i="17"/>
  <c r="C42" i="17"/>
  <c r="C41" i="17"/>
  <c r="C40" i="17"/>
  <c r="C39" i="17"/>
  <c r="C38" i="17"/>
  <c r="C37" i="17"/>
  <c r="C36" i="17"/>
  <c r="C35" i="17"/>
  <c r="C34" i="17"/>
  <c r="C33" i="17"/>
  <c r="C32" i="17"/>
  <c r="C31" i="17"/>
  <c r="C30" i="17"/>
  <c r="C29" i="17"/>
  <c r="C28" i="17"/>
  <c r="C27" i="17"/>
  <c r="B24" i="17"/>
  <c r="H263" i="11"/>
  <c r="G263" i="11"/>
  <c r="F263" i="11"/>
  <c r="H192" i="11"/>
  <c r="G192" i="11"/>
  <c r="F192" i="11"/>
  <c r="AG53" i="11"/>
  <c r="AG52" i="11"/>
  <c r="G46" i="11"/>
  <c r="G47" i="11" s="1"/>
  <c r="G44" i="11"/>
  <c r="G45" i="11" s="1"/>
  <c r="Q18" i="12"/>
  <c r="I18" i="12"/>
  <c r="K18" i="12"/>
  <c r="S18" i="12"/>
  <c r="T18" i="12"/>
  <c r="F20" i="1"/>
  <c r="H20" i="1" s="1"/>
  <c r="J20" i="1" s="1"/>
  <c r="L20" i="1" s="1"/>
  <c r="N20" i="1" s="1"/>
  <c r="P20" i="1" s="1"/>
  <c r="R20" i="1" s="1"/>
  <c r="T20" i="1" s="1"/>
  <c r="V20" i="1" s="1"/>
  <c r="X20" i="1" s="1"/>
  <c r="Z20" i="1" s="1"/>
  <c r="AB20" i="1" s="1"/>
  <c r="AD20" i="1" s="1"/>
  <c r="AF20" i="1" s="1"/>
  <c r="AH20" i="1" s="1"/>
  <c r="AJ20" i="1" s="1"/>
  <c r="AL20" i="1" s="1"/>
  <c r="AN20" i="1" s="1"/>
  <c r="AP20" i="1" s="1"/>
  <c r="AR20" i="1" s="1"/>
  <c r="AT20" i="1" s="1"/>
  <c r="AV20" i="1" s="1"/>
  <c r="AX20" i="1" s="1"/>
  <c r="AZ20" i="1" s="1"/>
  <c r="BB20" i="1" s="1"/>
  <c r="BD20" i="1" s="1"/>
  <c r="BF20" i="1" s="1"/>
  <c r="BH20" i="1" s="1"/>
  <c r="BJ20" i="1" s="1"/>
  <c r="BL20" i="1" s="1"/>
  <c r="D208" i="8"/>
  <c r="L43" i="11" s="1"/>
  <c r="E208" i="8"/>
  <c r="M43" i="11" s="1"/>
  <c r="C208" i="8"/>
  <c r="K43" i="11" s="1"/>
  <c r="D19" i="1"/>
  <c r="F19" i="1" s="1"/>
  <c r="F16" i="1" s="1"/>
  <c r="AT115" i="11" l="1"/>
  <c r="AT99" i="11"/>
  <c r="AT101" i="11"/>
  <c r="AT85" i="11"/>
  <c r="AT82" i="11"/>
  <c r="AT67" i="11"/>
  <c r="AT88" i="11"/>
  <c r="AN112" i="11"/>
  <c r="AN80" i="11"/>
  <c r="AN89" i="11"/>
  <c r="AN60" i="11"/>
  <c r="AN76" i="11"/>
  <c r="AN95" i="11"/>
  <c r="AN63" i="11"/>
  <c r="AN69" i="11"/>
  <c r="AT92" i="11"/>
  <c r="AT104" i="11"/>
  <c r="AT75" i="11"/>
  <c r="AN104" i="11"/>
  <c r="AN101" i="11"/>
  <c r="AT96" i="11"/>
  <c r="AT64" i="11"/>
  <c r="AT59" i="11"/>
  <c r="AT87" i="11"/>
  <c r="AT113" i="11"/>
  <c r="AT97" i="11"/>
  <c r="AT81" i="11"/>
  <c r="AT65" i="11"/>
  <c r="AN107" i="11"/>
  <c r="AN91" i="11"/>
  <c r="AN96" i="11"/>
  <c r="AN64" i="11"/>
  <c r="AN87" i="11"/>
  <c r="AN113" i="11"/>
  <c r="AN97" i="11"/>
  <c r="AN81" i="11"/>
  <c r="AN65" i="11"/>
  <c r="AT72" i="11"/>
  <c r="AT69" i="11"/>
  <c r="AN72" i="11"/>
  <c r="AG61" i="11"/>
  <c r="AG65" i="11"/>
  <c r="AG69" i="11"/>
  <c r="AG73" i="11"/>
  <c r="AG77" i="11"/>
  <c r="AG81" i="11"/>
  <c r="AG85" i="11"/>
  <c r="AG89" i="11"/>
  <c r="AG93" i="11"/>
  <c r="AG58" i="11"/>
  <c r="AG62" i="11"/>
  <c r="AG66" i="11"/>
  <c r="AH66" i="11" s="1"/>
  <c r="AG70" i="11"/>
  <c r="AG74" i="11"/>
  <c r="AG78" i="11"/>
  <c r="AG82" i="11"/>
  <c r="AH82" i="11" s="1"/>
  <c r="AG86" i="11"/>
  <c r="AG90" i="11"/>
  <c r="AG94" i="11"/>
  <c r="AG63" i="11"/>
  <c r="AG71" i="11"/>
  <c r="AH71" i="11" s="1"/>
  <c r="AG79" i="11"/>
  <c r="AG87" i="11"/>
  <c r="AG95" i="11"/>
  <c r="AG99" i="11"/>
  <c r="AG103" i="11"/>
  <c r="AG107" i="11"/>
  <c r="AH107" i="11" s="1"/>
  <c r="AG111" i="11"/>
  <c r="AG115" i="11"/>
  <c r="AG64" i="11"/>
  <c r="AG72" i="11"/>
  <c r="AG80" i="11"/>
  <c r="AH80" i="11" s="1"/>
  <c r="AG88" i="11"/>
  <c r="AG96" i="11"/>
  <c r="AG100" i="11"/>
  <c r="AG104" i="11"/>
  <c r="AH104" i="11" s="1"/>
  <c r="AG108" i="11"/>
  <c r="AG112" i="11"/>
  <c r="AG116" i="11"/>
  <c r="AG59" i="11"/>
  <c r="AH59" i="11" s="1"/>
  <c r="AG75" i="11"/>
  <c r="AH75" i="11" s="1"/>
  <c r="AG91" i="11"/>
  <c r="AH91" i="11" s="1"/>
  <c r="AG101" i="11"/>
  <c r="AH101" i="11" s="1"/>
  <c r="AG109" i="11"/>
  <c r="AG57" i="11"/>
  <c r="AH57" i="11" s="1"/>
  <c r="AG83" i="11"/>
  <c r="AG105" i="11"/>
  <c r="AG68" i="11"/>
  <c r="AG84" i="11"/>
  <c r="AG106" i="11"/>
  <c r="AG60" i="11"/>
  <c r="AG76" i="11"/>
  <c r="AG92" i="11"/>
  <c r="AH92" i="11" s="1"/>
  <c r="AG102" i="11"/>
  <c r="AG110" i="11"/>
  <c r="AG67" i="11"/>
  <c r="AH67" i="11" s="1"/>
  <c r="AG97" i="11"/>
  <c r="AH97" i="11" s="1"/>
  <c r="AG113" i="11"/>
  <c r="AH113" i="11" s="1"/>
  <c r="AG98" i="11"/>
  <c r="AG114" i="11"/>
  <c r="AH114" i="11" s="1"/>
  <c r="AA59" i="11"/>
  <c r="AB59" i="11" s="1"/>
  <c r="AA63" i="11"/>
  <c r="AA67" i="11"/>
  <c r="AA71" i="11"/>
  <c r="AA75" i="11"/>
  <c r="AB75" i="11" s="1"/>
  <c r="AA79" i="11"/>
  <c r="AA83" i="11"/>
  <c r="AA87" i="11"/>
  <c r="AA91" i="11"/>
  <c r="AA95" i="11"/>
  <c r="AA99" i="11"/>
  <c r="AA103" i="11"/>
  <c r="AA107" i="11"/>
  <c r="AA111" i="11"/>
  <c r="AA115" i="11"/>
  <c r="AA60" i="11"/>
  <c r="AA64" i="11"/>
  <c r="AA68" i="11"/>
  <c r="AA72" i="11"/>
  <c r="AA76" i="11"/>
  <c r="AA80" i="11"/>
  <c r="AA84" i="11"/>
  <c r="AA88" i="11"/>
  <c r="AA92" i="11"/>
  <c r="AA96" i="11"/>
  <c r="AA100" i="11"/>
  <c r="AA104" i="11"/>
  <c r="AA108" i="11"/>
  <c r="AA112" i="11"/>
  <c r="AA116" i="11"/>
  <c r="AA61" i="11"/>
  <c r="AA69" i="11"/>
  <c r="AA77" i="11"/>
  <c r="AB77" i="11" s="1"/>
  <c r="AA85" i="11"/>
  <c r="AB85" i="11" s="1"/>
  <c r="AA93" i="11"/>
  <c r="AA101" i="11"/>
  <c r="AA109" i="11"/>
  <c r="AB109" i="11" s="1"/>
  <c r="AA57" i="11"/>
  <c r="AB57" i="11" s="1"/>
  <c r="AA65" i="11"/>
  <c r="AA73" i="11"/>
  <c r="AA89" i="11"/>
  <c r="AB89" i="11" s="1"/>
  <c r="AA105" i="11"/>
  <c r="AA58" i="11"/>
  <c r="AA74" i="11"/>
  <c r="AB74" i="11" s="1"/>
  <c r="AA90" i="11"/>
  <c r="AB90" i="11" s="1"/>
  <c r="AA106" i="11"/>
  <c r="AB106" i="11" s="1"/>
  <c r="AA62" i="11"/>
  <c r="AB62" i="11" s="1"/>
  <c r="AA70" i="11"/>
  <c r="AB70" i="11" s="1"/>
  <c r="AA78" i="11"/>
  <c r="AB78" i="11" s="1"/>
  <c r="AA86" i="11"/>
  <c r="AB86" i="11" s="1"/>
  <c r="AA94" i="11"/>
  <c r="AB94" i="11" s="1"/>
  <c r="AA102" i="11"/>
  <c r="AB102" i="11" s="1"/>
  <c r="AA110" i="11"/>
  <c r="AB110" i="11" s="1"/>
  <c r="AA81" i="11"/>
  <c r="AA97" i="11"/>
  <c r="AA113" i="11"/>
  <c r="AA66" i="11"/>
  <c r="AB66" i="11" s="1"/>
  <c r="AA82" i="11"/>
  <c r="AB82" i="11" s="1"/>
  <c r="AA98" i="11"/>
  <c r="AB98" i="11" s="1"/>
  <c r="AA114" i="11"/>
  <c r="AB114" i="11" s="1"/>
  <c r="AT100" i="11"/>
  <c r="AT107" i="11"/>
  <c r="AT109" i="11"/>
  <c r="AT93" i="11"/>
  <c r="AT77" i="11"/>
  <c r="AT61" i="11"/>
  <c r="AN75" i="11"/>
  <c r="AN59" i="11"/>
  <c r="AN109" i="11"/>
  <c r="AN93" i="11"/>
  <c r="AN77" i="11"/>
  <c r="AN61" i="11"/>
  <c r="U60" i="11"/>
  <c r="U64" i="11"/>
  <c r="U68" i="11"/>
  <c r="U72" i="11"/>
  <c r="U76" i="11"/>
  <c r="U80" i="11"/>
  <c r="U84" i="11"/>
  <c r="U88" i="11"/>
  <c r="U92" i="11"/>
  <c r="U96" i="11"/>
  <c r="U100" i="11"/>
  <c r="U104" i="11"/>
  <c r="U108" i="11"/>
  <c r="U112" i="11"/>
  <c r="U116" i="11"/>
  <c r="U85" i="11"/>
  <c r="U97" i="11"/>
  <c r="U105" i="11"/>
  <c r="U109" i="11"/>
  <c r="U57" i="11"/>
  <c r="V57" i="11" s="1"/>
  <c r="U63" i="11"/>
  <c r="U75" i="11"/>
  <c r="U83" i="11"/>
  <c r="U95" i="11"/>
  <c r="U99" i="11"/>
  <c r="U61" i="11"/>
  <c r="U65" i="11"/>
  <c r="U69" i="11"/>
  <c r="U73" i="11"/>
  <c r="U77" i="11"/>
  <c r="U81" i="11"/>
  <c r="U89" i="11"/>
  <c r="V89" i="11" s="1"/>
  <c r="U93" i="11"/>
  <c r="V93" i="11" s="1"/>
  <c r="U101" i="11"/>
  <c r="U113" i="11"/>
  <c r="U67" i="11"/>
  <c r="U87" i="11"/>
  <c r="U103" i="11"/>
  <c r="U111" i="11"/>
  <c r="U58" i="11"/>
  <c r="V58" i="11" s="1"/>
  <c r="U62" i="11"/>
  <c r="U66" i="11"/>
  <c r="U70" i="11"/>
  <c r="U74" i="11"/>
  <c r="U78" i="11"/>
  <c r="U82" i="11"/>
  <c r="U86" i="11"/>
  <c r="U90" i="11"/>
  <c r="V90" i="11" s="1"/>
  <c r="U94" i="11"/>
  <c r="V94" i="11" s="1"/>
  <c r="U98" i="11"/>
  <c r="U102" i="11"/>
  <c r="U106" i="11"/>
  <c r="V106" i="11" s="1"/>
  <c r="U110" i="11"/>
  <c r="U114" i="11"/>
  <c r="U59" i="11"/>
  <c r="U71" i="11"/>
  <c r="U91" i="11"/>
  <c r="U107" i="11"/>
  <c r="U79" i="11"/>
  <c r="U115" i="11"/>
  <c r="F105" i="17"/>
  <c r="F101" i="17"/>
  <c r="F97" i="17"/>
  <c r="F93" i="17"/>
  <c r="F91" i="17"/>
  <c r="F92" i="17"/>
  <c r="F106" i="17"/>
  <c r="F102" i="17"/>
  <c r="F98" i="17"/>
  <c r="F94" i="17"/>
  <c r="E18" i="12"/>
  <c r="E41" i="11"/>
  <c r="M41" i="11" s="1"/>
  <c r="AA328" i="11"/>
  <c r="U273" i="11"/>
  <c r="AA129" i="11"/>
  <c r="AA182" i="11"/>
  <c r="AA175" i="11"/>
  <c r="E45" i="11"/>
  <c r="AA211" i="11"/>
  <c r="AA298" i="11"/>
  <c r="AA144" i="11"/>
  <c r="AA235" i="11"/>
  <c r="AA312" i="11"/>
  <c r="AA147" i="11"/>
  <c r="AA219" i="11"/>
  <c r="AA280" i="11"/>
  <c r="AA134" i="11"/>
  <c r="U309" i="11"/>
  <c r="U143" i="11"/>
  <c r="U235" i="11"/>
  <c r="U129" i="11"/>
  <c r="AA216" i="11"/>
  <c r="AA292" i="11"/>
  <c r="AA329" i="11"/>
  <c r="AA164" i="11"/>
  <c r="U249" i="11"/>
  <c r="U210" i="11"/>
  <c r="U287" i="11"/>
  <c r="U321" i="11"/>
  <c r="U149" i="11"/>
  <c r="U227" i="11"/>
  <c r="U222" i="11"/>
  <c r="U290" i="11"/>
  <c r="U324" i="11"/>
  <c r="U163" i="11"/>
  <c r="U217" i="11"/>
  <c r="AA224" i="11"/>
  <c r="U272" i="11"/>
  <c r="U302" i="11"/>
  <c r="AA277" i="11"/>
  <c r="AA310" i="11"/>
  <c r="AA229" i="11"/>
  <c r="AA158" i="11"/>
  <c r="U226" i="11"/>
  <c r="U173" i="11"/>
  <c r="AS325" i="11"/>
  <c r="U253" i="11"/>
  <c r="U213" i="11"/>
  <c r="U329" i="11"/>
  <c r="AA246" i="11"/>
  <c r="AA168" i="11"/>
  <c r="U178" i="11"/>
  <c r="AA231" i="11"/>
  <c r="U223" i="11"/>
  <c r="U239" i="11"/>
  <c r="U276" i="11"/>
  <c r="U295" i="11"/>
  <c r="U310" i="11"/>
  <c r="AA286" i="11"/>
  <c r="AA314" i="11"/>
  <c r="AA318" i="11"/>
  <c r="AA131" i="11"/>
  <c r="AA160" i="11"/>
  <c r="AA186" i="11"/>
  <c r="U133" i="11"/>
  <c r="U158" i="11"/>
  <c r="AA240" i="11"/>
  <c r="U234" i="11"/>
  <c r="AA210" i="11"/>
  <c r="AA237" i="11"/>
  <c r="U233" i="11"/>
  <c r="U228" i="11"/>
  <c r="U283" i="11"/>
  <c r="U291" i="11"/>
  <c r="U314" i="11"/>
  <c r="AA272" i="11"/>
  <c r="AA290" i="11"/>
  <c r="AA304" i="11"/>
  <c r="AA325" i="11"/>
  <c r="AA258" i="11"/>
  <c r="AA138" i="11"/>
  <c r="AA157" i="11"/>
  <c r="AA174" i="11"/>
  <c r="AA187" i="11"/>
  <c r="U138" i="11"/>
  <c r="U159" i="11"/>
  <c r="U181" i="11"/>
  <c r="AM157" i="11"/>
  <c r="AA244" i="11"/>
  <c r="AA204" i="11"/>
  <c r="AA247" i="11"/>
  <c r="U256" i="11"/>
  <c r="AA253" i="11"/>
  <c r="U247" i="11"/>
  <c r="U245" i="11"/>
  <c r="U220" i="11"/>
  <c r="U282" i="11"/>
  <c r="U294" i="11"/>
  <c r="U304" i="11"/>
  <c r="U318" i="11"/>
  <c r="U330" i="11"/>
  <c r="AA282" i="11"/>
  <c r="AA297" i="11"/>
  <c r="AA306" i="11"/>
  <c r="AA320" i="11"/>
  <c r="AA221" i="11"/>
  <c r="AA213" i="11"/>
  <c r="AA139" i="11"/>
  <c r="AA153" i="11"/>
  <c r="AA166" i="11"/>
  <c r="AA179" i="11"/>
  <c r="U201" i="11"/>
  <c r="U130" i="11"/>
  <c r="U151" i="11"/>
  <c r="U170" i="11"/>
  <c r="U186" i="11"/>
  <c r="AM248" i="11"/>
  <c r="AS250" i="11"/>
  <c r="AA236" i="11"/>
  <c r="U248" i="11"/>
  <c r="AA259" i="11"/>
  <c r="AA218" i="11"/>
  <c r="U236" i="11"/>
  <c r="AA252" i="11"/>
  <c r="AA230" i="11"/>
  <c r="U200" i="11"/>
  <c r="U209" i="11"/>
  <c r="U202" i="11"/>
  <c r="U278" i="11"/>
  <c r="U289" i="11"/>
  <c r="U298" i="11"/>
  <c r="U308" i="11"/>
  <c r="U316" i="11"/>
  <c r="U325" i="11"/>
  <c r="AA276" i="11"/>
  <c r="AA285" i="11"/>
  <c r="AA293" i="11"/>
  <c r="AA302" i="11"/>
  <c r="AA311" i="11"/>
  <c r="AA322" i="11"/>
  <c r="AA238" i="11"/>
  <c r="AA242" i="11"/>
  <c r="AA135" i="11"/>
  <c r="AA143" i="11"/>
  <c r="AA151" i="11"/>
  <c r="AA159" i="11"/>
  <c r="AA171" i="11"/>
  <c r="AA180" i="11"/>
  <c r="U211" i="11"/>
  <c r="O52" i="11"/>
  <c r="U142" i="11"/>
  <c r="U153" i="11"/>
  <c r="U167" i="11"/>
  <c r="U179" i="11"/>
  <c r="AM204" i="11"/>
  <c r="AM323" i="11"/>
  <c r="AM215" i="11"/>
  <c r="AM258" i="11"/>
  <c r="AM280" i="11"/>
  <c r="AM225" i="11"/>
  <c r="AM276" i="11"/>
  <c r="AM161" i="11"/>
  <c r="AA223" i="11"/>
  <c r="U251" i="11"/>
  <c r="U229" i="11"/>
  <c r="AA243" i="11"/>
  <c r="AA214" i="11"/>
  <c r="U242" i="11"/>
  <c r="AA257" i="11"/>
  <c r="AA233" i="11"/>
  <c r="AA205" i="11"/>
  <c r="U204" i="11"/>
  <c r="U230" i="11"/>
  <c r="U250" i="11"/>
  <c r="U212" i="11"/>
  <c r="U277" i="11"/>
  <c r="U285" i="11"/>
  <c r="U293" i="11"/>
  <c r="U299" i="11"/>
  <c r="U305" i="11"/>
  <c r="U313" i="11"/>
  <c r="U320" i="11"/>
  <c r="U326" i="11"/>
  <c r="AA274" i="11"/>
  <c r="AA281" i="11"/>
  <c r="AA288" i="11"/>
  <c r="AA296" i="11"/>
  <c r="AA313" i="11"/>
  <c r="AA307" i="11"/>
  <c r="AA317" i="11"/>
  <c r="AA324" i="11"/>
  <c r="AA330" i="11"/>
  <c r="AA217" i="11"/>
  <c r="AA249" i="11"/>
  <c r="AA142" i="11"/>
  <c r="AA148" i="11"/>
  <c r="AA154" i="11"/>
  <c r="AA163" i="11"/>
  <c r="AA170" i="11"/>
  <c r="AA176" i="11"/>
  <c r="AA184" i="11"/>
  <c r="U215" i="11"/>
  <c r="U255" i="11"/>
  <c r="U137" i="11"/>
  <c r="U146" i="11"/>
  <c r="U157" i="11"/>
  <c r="U165" i="11"/>
  <c r="U174" i="11"/>
  <c r="U185" i="11"/>
  <c r="AM237" i="11"/>
  <c r="AM307" i="11"/>
  <c r="AM208" i="11"/>
  <c r="AM217" i="11"/>
  <c r="AM227" i="11"/>
  <c r="AM241" i="11"/>
  <c r="AM252" i="11"/>
  <c r="AM284" i="11"/>
  <c r="AM291" i="11"/>
  <c r="AM311" i="11"/>
  <c r="AM329" i="11"/>
  <c r="AM148" i="11"/>
  <c r="AM172" i="11"/>
  <c r="AM200" i="11"/>
  <c r="AM209" i="11"/>
  <c r="AM219" i="11"/>
  <c r="AM232" i="11"/>
  <c r="AM243" i="11"/>
  <c r="AM247" i="11"/>
  <c r="AM288" i="11"/>
  <c r="AM297" i="11"/>
  <c r="AM313" i="11"/>
  <c r="AM180" i="11"/>
  <c r="AM202" i="11"/>
  <c r="AM211" i="11"/>
  <c r="AM223" i="11"/>
  <c r="AM234" i="11"/>
  <c r="AM245" i="11"/>
  <c r="AM256" i="11"/>
  <c r="AM290" i="11"/>
  <c r="AM299" i="11"/>
  <c r="AM321" i="11"/>
  <c r="AS159" i="11"/>
  <c r="AS287" i="11"/>
  <c r="AA248" i="11"/>
  <c r="AA227" i="11"/>
  <c r="AA208" i="11"/>
  <c r="U244" i="11"/>
  <c r="U221" i="11"/>
  <c r="AA250" i="11"/>
  <c r="AA226" i="11"/>
  <c r="AA203" i="11"/>
  <c r="U238" i="11"/>
  <c r="U219" i="11"/>
  <c r="AA241" i="11"/>
  <c r="AA220" i="11"/>
  <c r="AA201" i="11"/>
  <c r="U231" i="11"/>
  <c r="U252" i="11"/>
  <c r="U207" i="11"/>
  <c r="U237" i="11"/>
  <c r="U216" i="11"/>
  <c r="U274" i="11"/>
  <c r="U281" i="11"/>
  <c r="U286" i="11"/>
  <c r="U280" i="11"/>
  <c r="U297" i="11"/>
  <c r="U301" i="11"/>
  <c r="U306" i="11"/>
  <c r="U312" i="11"/>
  <c r="U317" i="11"/>
  <c r="U322" i="11"/>
  <c r="U328" i="11"/>
  <c r="AA273" i="11"/>
  <c r="AA278" i="11"/>
  <c r="AA284" i="11"/>
  <c r="AA289" i="11"/>
  <c r="AA294" i="11"/>
  <c r="AA300" i="11"/>
  <c r="AA303" i="11"/>
  <c r="AA308" i="11"/>
  <c r="AA316" i="11"/>
  <c r="AA321" i="11"/>
  <c r="AA326" i="11"/>
  <c r="AA254" i="11"/>
  <c r="AA234" i="11"/>
  <c r="AA225" i="11"/>
  <c r="AA133" i="11"/>
  <c r="AA130" i="11"/>
  <c r="AA140" i="11"/>
  <c r="AA146" i="11"/>
  <c r="AA150" i="11"/>
  <c r="AA155" i="11"/>
  <c r="AA162" i="11"/>
  <c r="AA167" i="11"/>
  <c r="AA172" i="11"/>
  <c r="AA178" i="11"/>
  <c r="AA183" i="11"/>
  <c r="AA188" i="11"/>
  <c r="U218" i="11"/>
  <c r="U259" i="11"/>
  <c r="U135" i="11"/>
  <c r="U141" i="11"/>
  <c r="U147" i="11"/>
  <c r="U154" i="11"/>
  <c r="U162" i="11"/>
  <c r="U169" i="11"/>
  <c r="U175" i="11"/>
  <c r="U183" i="11"/>
  <c r="U132" i="11"/>
  <c r="AS224" i="11"/>
  <c r="O53" i="11"/>
  <c r="AS206" i="11"/>
  <c r="AS236" i="11"/>
  <c r="AS315" i="11"/>
  <c r="AS155" i="11"/>
  <c r="H15" i="7"/>
  <c r="F46" i="11" s="1"/>
  <c r="F47" i="11" s="1"/>
  <c r="AS208" i="11"/>
  <c r="AS253" i="11"/>
  <c r="AS275" i="11"/>
  <c r="AS301" i="11"/>
  <c r="AG133" i="11"/>
  <c r="AG231" i="11"/>
  <c r="AS130" i="11"/>
  <c r="AS313" i="11"/>
  <c r="AS300" i="11"/>
  <c r="AS279" i="11"/>
  <c r="AS244" i="11"/>
  <c r="AS231" i="11"/>
  <c r="AS216" i="11"/>
  <c r="AS204" i="11"/>
  <c r="AS170" i="11"/>
  <c r="AS309" i="11"/>
  <c r="AS292" i="11"/>
  <c r="AS277" i="11"/>
  <c r="AS256" i="11"/>
  <c r="AS238" i="11"/>
  <c r="AS228" i="11"/>
  <c r="AS214" i="11"/>
  <c r="AS220" i="11"/>
  <c r="AS246" i="11"/>
  <c r="AS285" i="11"/>
  <c r="AS319" i="11"/>
  <c r="H418" i="11"/>
  <c r="I418" i="11" s="1"/>
  <c r="H415" i="11"/>
  <c r="I415" i="11" s="1"/>
  <c r="AA251" i="11"/>
  <c r="AA232" i="11"/>
  <c r="AA215" i="11"/>
  <c r="AA200" i="11"/>
  <c r="U240" i="11"/>
  <c r="U225" i="11"/>
  <c r="AA255" i="11"/>
  <c r="AA239" i="11"/>
  <c r="AA222" i="11"/>
  <c r="AA207" i="11"/>
  <c r="U246" i="11"/>
  <c r="U232" i="11"/>
  <c r="U208" i="11"/>
  <c r="AA245" i="11"/>
  <c r="AA228" i="11"/>
  <c r="AA212" i="11"/>
  <c r="U257" i="11"/>
  <c r="U224" i="11"/>
  <c r="U214" i="11"/>
  <c r="U254" i="11"/>
  <c r="U203" i="11"/>
  <c r="U243" i="11"/>
  <c r="U206" i="11"/>
  <c r="U271" i="11"/>
  <c r="U275" i="11"/>
  <c r="U279" i="11"/>
  <c r="U284" i="11"/>
  <c r="U288" i="11"/>
  <c r="U292" i="11"/>
  <c r="U296" i="11"/>
  <c r="U300" i="11"/>
  <c r="U303" i="11"/>
  <c r="U307" i="11"/>
  <c r="U311" i="11"/>
  <c r="U315" i="11"/>
  <c r="U319" i="11"/>
  <c r="U323" i="11"/>
  <c r="U327" i="11"/>
  <c r="U258" i="11"/>
  <c r="AA275" i="11"/>
  <c r="AA279" i="11"/>
  <c r="AA283" i="11"/>
  <c r="AA287" i="11"/>
  <c r="AA291" i="11"/>
  <c r="AA295" i="11"/>
  <c r="AA299" i="11"/>
  <c r="AA301" i="11"/>
  <c r="AA305" i="11"/>
  <c r="AA309" i="11"/>
  <c r="AA315" i="11"/>
  <c r="AA319" i="11"/>
  <c r="AA323" i="11"/>
  <c r="AA327" i="11"/>
  <c r="AA256" i="11"/>
  <c r="AA206" i="11"/>
  <c r="AA202" i="11"/>
  <c r="AA209" i="11"/>
  <c r="AA271" i="11"/>
  <c r="AA136" i="11"/>
  <c r="AA137" i="11"/>
  <c r="AA141" i="11"/>
  <c r="AA145" i="11"/>
  <c r="AA149" i="11"/>
  <c r="AA152" i="11"/>
  <c r="AA156" i="11"/>
  <c r="AA161" i="11"/>
  <c r="AA165" i="11"/>
  <c r="AA169" i="11"/>
  <c r="AA173" i="11"/>
  <c r="AA177" i="11"/>
  <c r="AA181" i="11"/>
  <c r="AA185" i="11"/>
  <c r="AA132" i="11"/>
  <c r="U205" i="11"/>
  <c r="U241" i="11"/>
  <c r="U136" i="11"/>
  <c r="U139" i="11"/>
  <c r="U145" i="11"/>
  <c r="U150" i="11"/>
  <c r="U155" i="11"/>
  <c r="U161" i="11"/>
  <c r="U166" i="11"/>
  <c r="U171" i="11"/>
  <c r="U177" i="11"/>
  <c r="U182" i="11"/>
  <c r="U187" i="11"/>
  <c r="AS183" i="11"/>
  <c r="AS139" i="11"/>
  <c r="AS323" i="11"/>
  <c r="AS307" i="11"/>
  <c r="AS294" i="11"/>
  <c r="AS283" i="11"/>
  <c r="AS271" i="11"/>
  <c r="AS252" i="11"/>
  <c r="AS242" i="11"/>
  <c r="AS232" i="11"/>
  <c r="AS222" i="11"/>
  <c r="AS212" i="11"/>
  <c r="AS200" i="11"/>
  <c r="U188" i="11"/>
  <c r="U184" i="11"/>
  <c r="U180" i="11"/>
  <c r="U176" i="11"/>
  <c r="U172" i="11"/>
  <c r="U168" i="11"/>
  <c r="U164" i="11"/>
  <c r="U160" i="11"/>
  <c r="U156" i="11"/>
  <c r="U152" i="11"/>
  <c r="U148" i="11"/>
  <c r="U144" i="11"/>
  <c r="U140" i="11"/>
  <c r="U131" i="11"/>
  <c r="U134" i="11"/>
  <c r="AG317" i="11"/>
  <c r="AG275" i="11"/>
  <c r="H539" i="11"/>
  <c r="I539" i="11" s="1"/>
  <c r="H529" i="11"/>
  <c r="I529" i="11" s="1"/>
  <c r="H516" i="11"/>
  <c r="I516" i="11" s="1"/>
  <c r="H580" i="11"/>
  <c r="I580" i="11" s="1"/>
  <c r="H587" i="11"/>
  <c r="I587" i="11" s="1"/>
  <c r="H571" i="11"/>
  <c r="I571" i="11" s="1"/>
  <c r="H500" i="11"/>
  <c r="H443" i="11"/>
  <c r="I443" i="11" s="1"/>
  <c r="H445" i="11"/>
  <c r="I445" i="11" s="1"/>
  <c r="H450" i="11"/>
  <c r="I450" i="11" s="1"/>
  <c r="H467" i="11"/>
  <c r="I467" i="11" s="1"/>
  <c r="H564" i="11"/>
  <c r="I564" i="11" s="1"/>
  <c r="H548" i="11"/>
  <c r="I548" i="11" s="1"/>
  <c r="H434" i="11"/>
  <c r="I434" i="11" s="1"/>
  <c r="H429" i="11"/>
  <c r="I429" i="11" s="1"/>
  <c r="H424" i="11"/>
  <c r="I424" i="11" s="1"/>
  <c r="H461" i="11"/>
  <c r="I461" i="11" s="1"/>
  <c r="H593" i="11"/>
  <c r="I593" i="11" s="1"/>
  <c r="H523" i="11"/>
  <c r="I523" i="11" s="1"/>
  <c r="H520" i="11"/>
  <c r="I520" i="11" s="1"/>
  <c r="H517" i="11"/>
  <c r="I517" i="11" s="1"/>
  <c r="H507" i="11"/>
  <c r="H414" i="11"/>
  <c r="I414" i="11" s="1"/>
  <c r="H544" i="11"/>
  <c r="I544" i="11" s="1"/>
  <c r="H440" i="11"/>
  <c r="I440" i="11" s="1"/>
  <c r="H437" i="11"/>
  <c r="I437" i="11" s="1"/>
  <c r="H427" i="11"/>
  <c r="I427" i="11" s="1"/>
  <c r="H462" i="11"/>
  <c r="I462" i="11" s="1"/>
  <c r="H458" i="11"/>
  <c r="I458" i="11" s="1"/>
  <c r="H555" i="11"/>
  <c r="I555" i="11" s="1"/>
  <c r="H552" i="11"/>
  <c r="I552" i="11" s="1"/>
  <c r="H549" i="11"/>
  <c r="I549" i="11" s="1"/>
  <c r="H491" i="11"/>
  <c r="H488" i="11"/>
  <c r="H444" i="11"/>
  <c r="I444" i="11" s="1"/>
  <c r="H470" i="11"/>
  <c r="I470" i="11" s="1"/>
  <c r="H468" i="11"/>
  <c r="I468" i="11" s="1"/>
  <c r="H596" i="11"/>
  <c r="I596" i="11" s="1"/>
  <c r="H545" i="11"/>
  <c r="I545" i="11" s="1"/>
  <c r="H542" i="11"/>
  <c r="I542" i="11" s="1"/>
  <c r="H532" i="11"/>
  <c r="I532" i="11" s="1"/>
  <c r="H439" i="11"/>
  <c r="I439" i="11" s="1"/>
  <c r="H460" i="11"/>
  <c r="I460" i="11" s="1"/>
  <c r="H577" i="11"/>
  <c r="I577" i="11" s="1"/>
  <c r="H561" i="11"/>
  <c r="I561" i="11" s="1"/>
  <c r="H513" i="11"/>
  <c r="I513" i="11" s="1"/>
  <c r="H512" i="11"/>
  <c r="H497" i="11"/>
  <c r="H478" i="11"/>
  <c r="H451" i="11"/>
  <c r="I451" i="11" s="1"/>
  <c r="AG221" i="11"/>
  <c r="AG253" i="11"/>
  <c r="AG313" i="11"/>
  <c r="AG158" i="11"/>
  <c r="AG201" i="11"/>
  <c r="AG181" i="11"/>
  <c r="AG162" i="11"/>
  <c r="AG151" i="11"/>
  <c r="AG143" i="11"/>
  <c r="AG131" i="11"/>
  <c r="AG329" i="11"/>
  <c r="AG321" i="11"/>
  <c r="AG309" i="11"/>
  <c r="AG301" i="11"/>
  <c r="AG297" i="11"/>
  <c r="AG289" i="11"/>
  <c r="AG281" i="11"/>
  <c r="AG273" i="11"/>
  <c r="AG186" i="11"/>
  <c r="AG166" i="11"/>
  <c r="AG149" i="11"/>
  <c r="AG139" i="11"/>
  <c r="AG130" i="11"/>
  <c r="AG319" i="11"/>
  <c r="AG305" i="11"/>
  <c r="AG299" i="11"/>
  <c r="AG287" i="11"/>
  <c r="AG277" i="11"/>
  <c r="AG259" i="11"/>
  <c r="AG251" i="11"/>
  <c r="AG243" i="11"/>
  <c r="AG235" i="11"/>
  <c r="AG207" i="11"/>
  <c r="AG228" i="11"/>
  <c r="AG225" i="11"/>
  <c r="AG213" i="11"/>
  <c r="AG170" i="11"/>
  <c r="AG147" i="11"/>
  <c r="AG135" i="11"/>
  <c r="AG323" i="11"/>
  <c r="AG303" i="11"/>
  <c r="AG293" i="11"/>
  <c r="AG279" i="11"/>
  <c r="AG255" i="11"/>
  <c r="AG245" i="11"/>
  <c r="AG233" i="11"/>
  <c r="AG203" i="11"/>
  <c r="AG229" i="11"/>
  <c r="AG211" i="11"/>
  <c r="AG182" i="11"/>
  <c r="AG155" i="11"/>
  <c r="AG141" i="11"/>
  <c r="AG327" i="11"/>
  <c r="AG311" i="11"/>
  <c r="AG316" i="11"/>
  <c r="AG285" i="11"/>
  <c r="AG271" i="11"/>
  <c r="AG249" i="11"/>
  <c r="AG239" i="11"/>
  <c r="AG209" i="11"/>
  <c r="AG224" i="11"/>
  <c r="AG217" i="11"/>
  <c r="AG177" i="11"/>
  <c r="AG153" i="11"/>
  <c r="AG137" i="11"/>
  <c r="AG325" i="11"/>
  <c r="AG307" i="11"/>
  <c r="AG295" i="11"/>
  <c r="AG283" i="11"/>
  <c r="AG257" i="11"/>
  <c r="AG247" i="11"/>
  <c r="AG237" i="11"/>
  <c r="AG205" i="11"/>
  <c r="AG220" i="11"/>
  <c r="AG215" i="11"/>
  <c r="AG241" i="11"/>
  <c r="AG291" i="11"/>
  <c r="AG145" i="11"/>
  <c r="AS179" i="11"/>
  <c r="AS162" i="11"/>
  <c r="AS147" i="11"/>
  <c r="AS133" i="11"/>
  <c r="AS187" i="11"/>
  <c r="AS166" i="11"/>
  <c r="AS143" i="11"/>
  <c r="AS329" i="11"/>
  <c r="AS321" i="11"/>
  <c r="AS311" i="11"/>
  <c r="AS303" i="11"/>
  <c r="AS298" i="11"/>
  <c r="AS289" i="11"/>
  <c r="AS281" i="11"/>
  <c r="AS273" i="11"/>
  <c r="AS258" i="11"/>
  <c r="AS248" i="11"/>
  <c r="AS240" i="11"/>
  <c r="AS234" i="11"/>
  <c r="AS226" i="11"/>
  <c r="AS218" i="11"/>
  <c r="AS210" i="11"/>
  <c r="AS202" i="11"/>
  <c r="AM171" i="11"/>
  <c r="AM152" i="11"/>
  <c r="AM325" i="11"/>
  <c r="AM317" i="11"/>
  <c r="AM309" i="11"/>
  <c r="AM301" i="11"/>
  <c r="AM293" i="11"/>
  <c r="AM274" i="11"/>
  <c r="AM286" i="11"/>
  <c r="AM139" i="11"/>
  <c r="AM327" i="11"/>
  <c r="AM315" i="11"/>
  <c r="AM305" i="11"/>
  <c r="AM295" i="11"/>
  <c r="AM272" i="11"/>
  <c r="AM282" i="11"/>
  <c r="AM254" i="11"/>
  <c r="AM251" i="11"/>
  <c r="AM239" i="11"/>
  <c r="AM229" i="11"/>
  <c r="AM221" i="11"/>
  <c r="AM213" i="11"/>
  <c r="AM206" i="11"/>
  <c r="AS296" i="11"/>
  <c r="AS305" i="11"/>
  <c r="AS317" i="11"/>
  <c r="AS327" i="11"/>
  <c r="AM278" i="11"/>
  <c r="AM303" i="11"/>
  <c r="AM319" i="11"/>
  <c r="AS151" i="11"/>
  <c r="AS175" i="11"/>
  <c r="AM137" i="11"/>
  <c r="H565" i="11"/>
  <c r="I565" i="11" s="1"/>
  <c r="H560" i="11"/>
  <c r="I560" i="11" s="1"/>
  <c r="H558" i="11"/>
  <c r="I558" i="11" s="1"/>
  <c r="H504" i="11"/>
  <c r="H501" i="11"/>
  <c r="H496" i="11"/>
  <c r="I496" i="11" s="1"/>
  <c r="H494" i="11"/>
  <c r="H477" i="11"/>
  <c r="H475" i="11"/>
  <c r="I475" i="11" s="1"/>
  <c r="H574" i="11"/>
  <c r="I574" i="11" s="1"/>
  <c r="H510" i="11"/>
  <c r="H409" i="11"/>
  <c r="I409" i="11" s="1"/>
  <c r="H407" i="11"/>
  <c r="I407" i="11" s="1"/>
  <c r="H448" i="11"/>
  <c r="I448" i="11" s="1"/>
  <c r="H600" i="11"/>
  <c r="I600" i="11" s="1"/>
  <c r="H590" i="11"/>
  <c r="I590" i="11" s="1"/>
  <c r="H536" i="11"/>
  <c r="I536" i="11" s="1"/>
  <c r="H533" i="11"/>
  <c r="I533" i="11" s="1"/>
  <c r="H528" i="11"/>
  <c r="I528" i="11" s="1"/>
  <c r="H526" i="11"/>
  <c r="I526" i="11" s="1"/>
  <c r="H431" i="11"/>
  <c r="I431" i="11" s="1"/>
  <c r="H428" i="11"/>
  <c r="I428" i="11" s="1"/>
  <c r="H423" i="11"/>
  <c r="I423" i="11" s="1"/>
  <c r="H421" i="11"/>
  <c r="I421" i="11" s="1"/>
  <c r="H410" i="11"/>
  <c r="I410" i="11" s="1"/>
  <c r="H452" i="11"/>
  <c r="I452" i="11" s="1"/>
  <c r="AX47" i="17"/>
  <c r="F182" i="17"/>
  <c r="F104" i="17"/>
  <c r="F96" i="17"/>
  <c r="F183" i="17"/>
  <c r="H567" i="11"/>
  <c r="I567" i="11" s="1"/>
  <c r="H559" i="11"/>
  <c r="I559" i="11" s="1"/>
  <c r="H554" i="11"/>
  <c r="I554" i="11" s="1"/>
  <c r="H551" i="11"/>
  <c r="I551" i="11" s="1"/>
  <c r="H543" i="11"/>
  <c r="I543" i="11" s="1"/>
  <c r="H538" i="11"/>
  <c r="I538" i="11" s="1"/>
  <c r="H535" i="11"/>
  <c r="I535" i="11" s="1"/>
  <c r="H527" i="11"/>
  <c r="I527" i="11" s="1"/>
  <c r="H522" i="11"/>
  <c r="I522" i="11" s="1"/>
  <c r="H519" i="11"/>
  <c r="I519" i="11" s="1"/>
  <c r="H511" i="11"/>
  <c r="I511" i="11" s="1"/>
  <c r="H506" i="11"/>
  <c r="I506" i="11" s="1"/>
  <c r="H503" i="11"/>
  <c r="I503" i="11" s="1"/>
  <c r="H495" i="11"/>
  <c r="H490" i="11"/>
  <c r="H487" i="11"/>
  <c r="H438" i="11"/>
  <c r="I438" i="11" s="1"/>
  <c r="H433" i="11"/>
  <c r="I433" i="11" s="1"/>
  <c r="H430" i="11"/>
  <c r="I430" i="11" s="1"/>
  <c r="H422" i="11"/>
  <c r="I422" i="11" s="1"/>
  <c r="H417" i="11"/>
  <c r="I417" i="11" s="1"/>
  <c r="H408" i="11"/>
  <c r="I408" i="11" s="1"/>
  <c r="H479" i="11"/>
  <c r="H476" i="11"/>
  <c r="H469" i="11"/>
  <c r="I469" i="11" s="1"/>
  <c r="H463" i="11"/>
  <c r="I463" i="11" s="1"/>
  <c r="H459" i="11"/>
  <c r="I459" i="11" s="1"/>
  <c r="H453" i="11"/>
  <c r="I453" i="11" s="1"/>
  <c r="H595" i="11"/>
  <c r="I595" i="11" s="1"/>
  <c r="H579" i="11"/>
  <c r="I579" i="11" s="1"/>
  <c r="H563" i="11"/>
  <c r="I563" i="11" s="1"/>
  <c r="H547" i="11"/>
  <c r="I547" i="11" s="1"/>
  <c r="H531" i="11"/>
  <c r="I531" i="11" s="1"/>
  <c r="H515" i="11"/>
  <c r="H499" i="11"/>
  <c r="H442" i="11"/>
  <c r="I442" i="11" s="1"/>
  <c r="H482" i="11"/>
  <c r="H426" i="11"/>
  <c r="I426" i="11" s="1"/>
  <c r="H466" i="11"/>
  <c r="I466" i="11" s="1"/>
  <c r="H594" i="11"/>
  <c r="I594" i="11" s="1"/>
  <c r="H589" i="11"/>
  <c r="I589" i="11" s="1"/>
  <c r="H578" i="11"/>
  <c r="I578" i="11" s="1"/>
  <c r="H573" i="11"/>
  <c r="I573" i="11" s="1"/>
  <c r="H566" i="11"/>
  <c r="I566" i="11" s="1"/>
  <c r="H550" i="11"/>
  <c r="I550" i="11" s="1"/>
  <c r="H537" i="11"/>
  <c r="I537" i="11" s="1"/>
  <c r="H534" i="11"/>
  <c r="I534" i="11" s="1"/>
  <c r="H518" i="11"/>
  <c r="I518" i="11" s="1"/>
  <c r="H502" i="11"/>
  <c r="H486" i="11"/>
  <c r="H601" i="11"/>
  <c r="I601" i="11" s="1"/>
  <c r="H597" i="11"/>
  <c r="I597" i="11" s="1"/>
  <c r="H592" i="11"/>
  <c r="I592" i="11" s="1"/>
  <c r="H588" i="11"/>
  <c r="I588" i="11" s="1"/>
  <c r="H584" i="11"/>
  <c r="I584" i="11" s="1"/>
  <c r="H581" i="11"/>
  <c r="I581" i="11" s="1"/>
  <c r="H576" i="11"/>
  <c r="I576" i="11" s="1"/>
  <c r="H572" i="11"/>
  <c r="I572" i="11" s="1"/>
  <c r="H568" i="11"/>
  <c r="I568" i="11" s="1"/>
  <c r="H413" i="11"/>
  <c r="I413" i="11" s="1"/>
  <c r="H480" i="11"/>
  <c r="H473" i="11"/>
  <c r="I473" i="11" s="1"/>
  <c r="H464" i="11"/>
  <c r="I464" i="11" s="1"/>
  <c r="H456" i="11"/>
  <c r="I456" i="11" s="1"/>
  <c r="H598" i="11"/>
  <c r="I598" i="11" s="1"/>
  <c r="H585" i="11"/>
  <c r="I585" i="11" s="1"/>
  <c r="H582" i="11"/>
  <c r="I582" i="11" s="1"/>
  <c r="H569" i="11"/>
  <c r="I569" i="11" s="1"/>
  <c r="H556" i="11"/>
  <c r="I556" i="11" s="1"/>
  <c r="H540" i="11"/>
  <c r="I540" i="11" s="1"/>
  <c r="H524" i="11"/>
  <c r="I524" i="11" s="1"/>
  <c r="H508" i="11"/>
  <c r="I508" i="11" s="1"/>
  <c r="H492" i="11"/>
  <c r="H435" i="11"/>
  <c r="I435" i="11" s="1"/>
  <c r="H419" i="11"/>
  <c r="I419" i="11" s="1"/>
  <c r="H405" i="11"/>
  <c r="I405" i="11" s="1"/>
  <c r="H474" i="11"/>
  <c r="I474" i="11" s="1"/>
  <c r="H471" i="11"/>
  <c r="I471" i="11" s="1"/>
  <c r="H457" i="11"/>
  <c r="I457" i="11" s="1"/>
  <c r="H599" i="11"/>
  <c r="I599" i="11" s="1"/>
  <c r="H591" i="11"/>
  <c r="I591" i="11" s="1"/>
  <c r="H586" i="11"/>
  <c r="I586" i="11" s="1"/>
  <c r="H583" i="11"/>
  <c r="I583" i="11" s="1"/>
  <c r="H575" i="11"/>
  <c r="I575" i="11" s="1"/>
  <c r="H570" i="11"/>
  <c r="I570" i="11" s="1"/>
  <c r="H562" i="11"/>
  <c r="I562" i="11" s="1"/>
  <c r="H557" i="11"/>
  <c r="I557" i="11" s="1"/>
  <c r="H553" i="11"/>
  <c r="I553" i="11" s="1"/>
  <c r="H546" i="11"/>
  <c r="I546" i="11" s="1"/>
  <c r="H541" i="11"/>
  <c r="I541" i="11" s="1"/>
  <c r="H530" i="11"/>
  <c r="I530" i="11" s="1"/>
  <c r="H525" i="11"/>
  <c r="I525" i="11" s="1"/>
  <c r="H521" i="11"/>
  <c r="I521" i="11" s="1"/>
  <c r="H514" i="11"/>
  <c r="I514" i="11" s="1"/>
  <c r="H509" i="11"/>
  <c r="I509" i="11" s="1"/>
  <c r="H505" i="11"/>
  <c r="H498" i="11"/>
  <c r="H493" i="11"/>
  <c r="H489" i="11"/>
  <c r="H441" i="11"/>
  <c r="I441" i="11" s="1"/>
  <c r="H436" i="11"/>
  <c r="I436" i="11" s="1"/>
  <c r="H432" i="11"/>
  <c r="I432" i="11" s="1"/>
  <c r="H425" i="11"/>
  <c r="I425" i="11" s="1"/>
  <c r="H420" i="11"/>
  <c r="I420" i="11" s="1"/>
  <c r="H411" i="11"/>
  <c r="I411" i="11" s="1"/>
  <c r="H481" i="11"/>
  <c r="H472" i="11"/>
  <c r="I472" i="11" s="1"/>
  <c r="H465" i="11"/>
  <c r="I465" i="11" s="1"/>
  <c r="H455" i="11"/>
  <c r="I455" i="11" s="1"/>
  <c r="H454" i="11"/>
  <c r="I454" i="11" s="1"/>
  <c r="H19" i="1"/>
  <c r="AM142" i="11"/>
  <c r="AM174" i="11"/>
  <c r="AM173" i="11"/>
  <c r="AM154" i="11"/>
  <c r="AM187" i="11"/>
  <c r="AM135" i="11"/>
  <c r="AM164" i="11"/>
  <c r="AG185" i="11"/>
  <c r="AG176" i="11"/>
  <c r="AG180" i="11"/>
  <c r="AG173" i="11"/>
  <c r="AG169" i="11"/>
  <c r="AG165" i="11"/>
  <c r="AG161" i="11"/>
  <c r="AG157" i="11"/>
  <c r="AG187" i="11"/>
  <c r="AG183" i="11"/>
  <c r="AG174" i="11"/>
  <c r="AG178" i="11"/>
  <c r="AG171" i="11"/>
  <c r="AG167" i="11"/>
  <c r="AG163" i="11"/>
  <c r="AG159" i="11"/>
  <c r="AS188" i="11"/>
  <c r="AS184" i="11"/>
  <c r="AS180" i="11"/>
  <c r="AS176" i="11"/>
  <c r="AS171" i="11"/>
  <c r="AS167" i="11"/>
  <c r="AS163" i="11"/>
  <c r="AS173" i="11"/>
  <c r="AS156" i="11"/>
  <c r="AS152" i="11"/>
  <c r="AS148" i="11"/>
  <c r="AS144" i="11"/>
  <c r="AS140" i="11"/>
  <c r="AS136" i="11"/>
  <c r="AS134" i="11"/>
  <c r="AS186" i="11"/>
  <c r="AS182" i="11"/>
  <c r="AS178" i="11"/>
  <c r="AS174" i="11"/>
  <c r="AS169" i="11"/>
  <c r="AS165" i="11"/>
  <c r="AS161" i="11"/>
  <c r="AS158" i="11"/>
  <c r="AS154" i="11"/>
  <c r="AS150" i="11"/>
  <c r="AS146" i="11"/>
  <c r="AS142" i="11"/>
  <c r="AS138" i="11"/>
  <c r="AS131" i="11"/>
  <c r="AS132" i="11"/>
  <c r="F185" i="17"/>
  <c r="AG210" i="11"/>
  <c r="AG214" i="11"/>
  <c r="AG219" i="11"/>
  <c r="AG227" i="11"/>
  <c r="AG222" i="11"/>
  <c r="AG200" i="11"/>
  <c r="AG204" i="11"/>
  <c r="AG208" i="11"/>
  <c r="AG232" i="11"/>
  <c r="AG236" i="11"/>
  <c r="AG240" i="11"/>
  <c r="AG244" i="11"/>
  <c r="AG248" i="11"/>
  <c r="AG252" i="11"/>
  <c r="AG256" i="11"/>
  <c r="AM203" i="11"/>
  <c r="AM207" i="11"/>
  <c r="AM210" i="11"/>
  <c r="AM214" i="11"/>
  <c r="AM218" i="11"/>
  <c r="AM222" i="11"/>
  <c r="AM226" i="11"/>
  <c r="AM231" i="11"/>
  <c r="AM235" i="11"/>
  <c r="AM240" i="11"/>
  <c r="AM244" i="11"/>
  <c r="AM236" i="11"/>
  <c r="AM246" i="11"/>
  <c r="AM255" i="11"/>
  <c r="AM259" i="11"/>
  <c r="AS203" i="11"/>
  <c r="AS207" i="11"/>
  <c r="AS211" i="11"/>
  <c r="AS215" i="11"/>
  <c r="AS219" i="11"/>
  <c r="AS223" i="11"/>
  <c r="AS227" i="11"/>
  <c r="AS230" i="11"/>
  <c r="AS235" i="11"/>
  <c r="AS237" i="11"/>
  <c r="AS241" i="11"/>
  <c r="AS245" i="11"/>
  <c r="AS249" i="11"/>
  <c r="AS255" i="11"/>
  <c r="AS259" i="11"/>
  <c r="AS272" i="11"/>
  <c r="AS276" i="11"/>
  <c r="AS280" i="11"/>
  <c r="AS284" i="11"/>
  <c r="AS288" i="11"/>
  <c r="AS293" i="11"/>
  <c r="AS297" i="11"/>
  <c r="AS290" i="11"/>
  <c r="AS302" i="11"/>
  <c r="AS306" i="11"/>
  <c r="AS310" i="11"/>
  <c r="AS314" i="11"/>
  <c r="AS320" i="11"/>
  <c r="AS324" i="11"/>
  <c r="AS328" i="11"/>
  <c r="AM283" i="11"/>
  <c r="AM287" i="11"/>
  <c r="AM271" i="11"/>
  <c r="AM275" i="11"/>
  <c r="AM279" i="11"/>
  <c r="AM294" i="11"/>
  <c r="AM298" i="11"/>
  <c r="AM302" i="11"/>
  <c r="AM306" i="11"/>
  <c r="AM310" i="11"/>
  <c r="AM314" i="11"/>
  <c r="AM318" i="11"/>
  <c r="AM322" i="11"/>
  <c r="AM326" i="11"/>
  <c r="AM330" i="11"/>
  <c r="AG274" i="11"/>
  <c r="AG278" i="11"/>
  <c r="AG282" i="11"/>
  <c r="AG286" i="11"/>
  <c r="AG290" i="11"/>
  <c r="AG294" i="11"/>
  <c r="AG298" i="11"/>
  <c r="AG315" i="11"/>
  <c r="AG302" i="11"/>
  <c r="AG306" i="11"/>
  <c r="AG310" i="11"/>
  <c r="AG318" i="11"/>
  <c r="AG322" i="11"/>
  <c r="AG326" i="11"/>
  <c r="AG330" i="11"/>
  <c r="AG134" i="11"/>
  <c r="AG129" i="11"/>
  <c r="AG140" i="11"/>
  <c r="AG144" i="11"/>
  <c r="AG148" i="11"/>
  <c r="AG152" i="11"/>
  <c r="AG156" i="11"/>
  <c r="AG164" i="11"/>
  <c r="AG172" i="11"/>
  <c r="AG175" i="11"/>
  <c r="AG188" i="11"/>
  <c r="AS135" i="11"/>
  <c r="AS141" i="11"/>
  <c r="AS149" i="11"/>
  <c r="AS157" i="11"/>
  <c r="AS164" i="11"/>
  <c r="AS172" i="11"/>
  <c r="AS181" i="11"/>
  <c r="AM160" i="11"/>
  <c r="AM182" i="11"/>
  <c r="AM134" i="11"/>
  <c r="AM163" i="11"/>
  <c r="AM141" i="11"/>
  <c r="AM140" i="11"/>
  <c r="AM184" i="11"/>
  <c r="AM168" i="11"/>
  <c r="AM151" i="11"/>
  <c r="AM131" i="11"/>
  <c r="AM169" i="11"/>
  <c r="AM132" i="11"/>
  <c r="AM175" i="11"/>
  <c r="AM158" i="11"/>
  <c r="AM143" i="11"/>
  <c r="AM181" i="11"/>
  <c r="AM145" i="11"/>
  <c r="AM178" i="11"/>
  <c r="AM162" i="11"/>
  <c r="AM146" i="11"/>
  <c r="AM133" i="11"/>
  <c r="AM176" i="11"/>
  <c r="AM159" i="11"/>
  <c r="AM144" i="11"/>
  <c r="AM185" i="11"/>
  <c r="AM149" i="11"/>
  <c r="AM183" i="11"/>
  <c r="AM167" i="11"/>
  <c r="AM150" i="11"/>
  <c r="AM130" i="11"/>
  <c r="AM165" i="11"/>
  <c r="AM186" i="11"/>
  <c r="AM170" i="11"/>
  <c r="AM153" i="11"/>
  <c r="AM138" i="11"/>
  <c r="AM136" i="11"/>
  <c r="F190" i="17"/>
  <c r="F186" i="17"/>
  <c r="F184" i="17"/>
  <c r="F188" i="17"/>
  <c r="F194" i="17"/>
  <c r="F193" i="17"/>
  <c r="F189" i="17"/>
  <c r="F187" i="17"/>
  <c r="F191" i="17"/>
  <c r="F195" i="17"/>
  <c r="AG212" i="11"/>
  <c r="AG216" i="11"/>
  <c r="AG223" i="11"/>
  <c r="AG218" i="11"/>
  <c r="AG226" i="11"/>
  <c r="AG202" i="11"/>
  <c r="AG206" i="11"/>
  <c r="AG230" i="11"/>
  <c r="AG234" i="11"/>
  <c r="AG238" i="11"/>
  <c r="AG242" i="11"/>
  <c r="AG246" i="11"/>
  <c r="AG250" i="11"/>
  <c r="AG254" i="11"/>
  <c r="AG258" i="11"/>
  <c r="AM201" i="11"/>
  <c r="AM205" i="11"/>
  <c r="AM230" i="11"/>
  <c r="AM212" i="11"/>
  <c r="AM216" i="11"/>
  <c r="AM220" i="11"/>
  <c r="AM224" i="11"/>
  <c r="AM228" i="11"/>
  <c r="AM233" i="11"/>
  <c r="AM238" i="11"/>
  <c r="AM242" i="11"/>
  <c r="AM249" i="11"/>
  <c r="AM250" i="11"/>
  <c r="AM253" i="11"/>
  <c r="AM257" i="11"/>
  <c r="AS201" i="11"/>
  <c r="AS205" i="11"/>
  <c r="AS209" i="11"/>
  <c r="AS213" i="11"/>
  <c r="AS217" i="11"/>
  <c r="AS221" i="11"/>
  <c r="AS225" i="11"/>
  <c r="AS229" i="11"/>
  <c r="AS233" i="11"/>
  <c r="AS254" i="11"/>
  <c r="AS239" i="11"/>
  <c r="AS243" i="11"/>
  <c r="AS247" i="11"/>
  <c r="AS251" i="11"/>
  <c r="AS257" i="11"/>
  <c r="AS274" i="11"/>
  <c r="AS278" i="11"/>
  <c r="AS282" i="11"/>
  <c r="AS286" i="11"/>
  <c r="AS291" i="11"/>
  <c r="AS295" i="11"/>
  <c r="AS299" i="11"/>
  <c r="AS316" i="11"/>
  <c r="AS304" i="11"/>
  <c r="AS308" i="11"/>
  <c r="AS312" i="11"/>
  <c r="AS318" i="11"/>
  <c r="AS322" i="11"/>
  <c r="AS326" i="11"/>
  <c r="AS330" i="11"/>
  <c r="AM281" i="11"/>
  <c r="AM285" i="11"/>
  <c r="AM289" i="11"/>
  <c r="AM273" i="11"/>
  <c r="AM277" i="11"/>
  <c r="AM292" i="11"/>
  <c r="AM296" i="11"/>
  <c r="AM300" i="11"/>
  <c r="AM304" i="11"/>
  <c r="AM308" i="11"/>
  <c r="AM312" i="11"/>
  <c r="AM316" i="11"/>
  <c r="AM320" i="11"/>
  <c r="AM324" i="11"/>
  <c r="AM328" i="11"/>
  <c r="AG272" i="11"/>
  <c r="AG276" i="11"/>
  <c r="AG280" i="11"/>
  <c r="AG284" i="11"/>
  <c r="AG288" i="11"/>
  <c r="AG292" i="11"/>
  <c r="AG296" i="11"/>
  <c r="AG300" i="11"/>
  <c r="AG314" i="11"/>
  <c r="AG304" i="11"/>
  <c r="AG308" i="11"/>
  <c r="AG312" i="11"/>
  <c r="AG320" i="11"/>
  <c r="AG324" i="11"/>
  <c r="AG328" i="11"/>
  <c r="AG132" i="11"/>
  <c r="AG136" i="11"/>
  <c r="AG138" i="11"/>
  <c r="AG142" i="11"/>
  <c r="AG146" i="11"/>
  <c r="AG150" i="11"/>
  <c r="AG154" i="11"/>
  <c r="AG160" i="11"/>
  <c r="AG168" i="11"/>
  <c r="AG179" i="11"/>
  <c r="AG184" i="11"/>
  <c r="AS129" i="11"/>
  <c r="AS137" i="11"/>
  <c r="AS145" i="11"/>
  <c r="AS153" i="11"/>
  <c r="AS160" i="11"/>
  <c r="AS168" i="11"/>
  <c r="AS177" i="11"/>
  <c r="AS185" i="11"/>
  <c r="AM129" i="11"/>
  <c r="AM166" i="11"/>
  <c r="AM156" i="11"/>
  <c r="AM147" i="11"/>
  <c r="AM179" i="11"/>
  <c r="AM177" i="11"/>
  <c r="AM155" i="11"/>
  <c r="AM188" i="11"/>
  <c r="F181" i="17"/>
  <c r="H13" i="12"/>
  <c r="D9" i="12"/>
  <c r="D11" i="12" s="1"/>
  <c r="F103" i="17"/>
  <c r="F99" i="17"/>
  <c r="F95" i="17"/>
  <c r="F192" i="17"/>
  <c r="F196" i="17"/>
  <c r="E48" i="11"/>
  <c r="H416" i="11"/>
  <c r="I416" i="11" s="1"/>
  <c r="H412" i="11"/>
  <c r="I412" i="11" s="1"/>
  <c r="H446" i="11"/>
  <c r="I446" i="11" s="1"/>
  <c r="H449" i="11"/>
  <c r="I449" i="11" s="1"/>
  <c r="H406" i="11"/>
  <c r="I406" i="11" s="1"/>
  <c r="H447" i="11"/>
  <c r="I447" i="11" s="1"/>
  <c r="H483" i="11"/>
  <c r="H485" i="11"/>
  <c r="H484" i="11"/>
  <c r="C406" i="11"/>
  <c r="B14" i="8"/>
  <c r="C405" i="11"/>
  <c r="V105" i="11" l="1"/>
  <c r="V59" i="11"/>
  <c r="V102" i="11"/>
  <c r="V86" i="11"/>
  <c r="V70" i="11"/>
  <c r="V113" i="11"/>
  <c r="V81" i="11"/>
  <c r="V65" i="11"/>
  <c r="V73" i="11"/>
  <c r="AT117" i="11"/>
  <c r="AH110" i="11"/>
  <c r="AH83" i="11"/>
  <c r="AH112" i="11"/>
  <c r="AH96" i="11"/>
  <c r="AH64" i="11"/>
  <c r="AH90" i="11"/>
  <c r="AH74" i="11"/>
  <c r="AH60" i="11"/>
  <c r="AH105" i="11"/>
  <c r="AH84" i="11"/>
  <c r="AH108" i="11"/>
  <c r="AH88" i="11"/>
  <c r="AH115" i="11"/>
  <c r="AH99" i="11"/>
  <c r="AH86" i="11"/>
  <c r="AH70" i="11"/>
  <c r="AH77" i="11"/>
  <c r="AH61" i="11"/>
  <c r="AB112" i="11"/>
  <c r="AB96" i="11"/>
  <c r="AB80" i="11"/>
  <c r="AB64" i="11"/>
  <c r="AB107" i="11"/>
  <c r="AB101" i="11"/>
  <c r="AB69" i="11"/>
  <c r="AB58" i="11"/>
  <c r="AB93" i="11"/>
  <c r="AB61" i="11"/>
  <c r="AB104" i="11"/>
  <c r="AB88" i="11"/>
  <c r="AB72" i="11"/>
  <c r="V98" i="11"/>
  <c r="V101" i="11"/>
  <c r="V77" i="11"/>
  <c r="V61" i="11"/>
  <c r="AB81" i="11"/>
  <c r="AB105" i="11"/>
  <c r="AB116" i="11"/>
  <c r="AB100" i="11"/>
  <c r="AB84" i="11"/>
  <c r="AB68" i="11"/>
  <c r="AB111" i="11"/>
  <c r="AB95" i="11"/>
  <c r="AB79" i="11"/>
  <c r="AB63" i="11"/>
  <c r="AH102" i="11"/>
  <c r="AH106" i="11"/>
  <c r="AH103" i="11"/>
  <c r="AH79" i="11"/>
  <c r="AH58" i="11"/>
  <c r="AH81" i="11"/>
  <c r="AH65" i="11"/>
  <c r="AB91" i="11"/>
  <c r="AH93" i="11"/>
  <c r="V74" i="11"/>
  <c r="V69" i="11"/>
  <c r="AB113" i="11"/>
  <c r="AB73" i="11"/>
  <c r="AB108" i="11"/>
  <c r="AB92" i="11"/>
  <c r="AB76" i="11"/>
  <c r="AB60" i="11"/>
  <c r="AB103" i="11"/>
  <c r="AB87" i="11"/>
  <c r="AB71" i="11"/>
  <c r="AH76" i="11"/>
  <c r="AH68" i="11"/>
  <c r="AH109" i="11"/>
  <c r="AH111" i="11"/>
  <c r="AH95" i="11"/>
  <c r="AH63" i="11"/>
  <c r="AH89" i="11"/>
  <c r="AH73" i="11"/>
  <c r="V79" i="11"/>
  <c r="V111" i="11"/>
  <c r="V109" i="11"/>
  <c r="V100" i="11"/>
  <c r="AB97" i="11"/>
  <c r="AB65" i="11"/>
  <c r="AB115" i="11"/>
  <c r="AB99" i="11"/>
  <c r="AB83" i="11"/>
  <c r="AB67" i="11"/>
  <c r="AH98" i="11"/>
  <c r="AH116" i="11"/>
  <c r="AH100" i="11"/>
  <c r="AH72" i="11"/>
  <c r="AH87" i="11"/>
  <c r="AH94" i="11"/>
  <c r="AH78" i="11"/>
  <c r="AH62" i="11"/>
  <c r="AH85" i="11"/>
  <c r="AH69" i="11"/>
  <c r="V71" i="11"/>
  <c r="V107" i="11"/>
  <c r="V114" i="11"/>
  <c r="V82" i="11"/>
  <c r="V66" i="11"/>
  <c r="V110" i="11"/>
  <c r="V115" i="11"/>
  <c r="V67" i="11"/>
  <c r="V95" i="11"/>
  <c r="V85" i="11"/>
  <c r="V104" i="11"/>
  <c r="V88" i="11"/>
  <c r="V72" i="11"/>
  <c r="V83" i="11"/>
  <c r="V116" i="11"/>
  <c r="V84" i="11"/>
  <c r="V68" i="11"/>
  <c r="V103" i="11"/>
  <c r="V75" i="11"/>
  <c r="V112" i="11"/>
  <c r="V96" i="11"/>
  <c r="V80" i="11"/>
  <c r="V64" i="11"/>
  <c r="V91" i="11"/>
  <c r="V78" i="11"/>
  <c r="V62" i="11"/>
  <c r="V87" i="11"/>
  <c r="V99" i="11"/>
  <c r="V63" i="11"/>
  <c r="V97" i="11"/>
  <c r="V108" i="11"/>
  <c r="V92" i="11"/>
  <c r="V76" i="11"/>
  <c r="V60" i="11"/>
  <c r="O60" i="11"/>
  <c r="O64" i="11"/>
  <c r="O68" i="11"/>
  <c r="O72" i="11"/>
  <c r="O76" i="11"/>
  <c r="O80" i="11"/>
  <c r="O84" i="11"/>
  <c r="O88" i="11"/>
  <c r="O92" i="11"/>
  <c r="O96" i="11"/>
  <c r="O100" i="11"/>
  <c r="O104" i="11"/>
  <c r="O108" i="11"/>
  <c r="O112" i="11"/>
  <c r="O116" i="11"/>
  <c r="O61" i="11"/>
  <c r="O65" i="11"/>
  <c r="O73" i="11"/>
  <c r="O77" i="11"/>
  <c r="O81" i="11"/>
  <c r="O89" i="11"/>
  <c r="O97" i="11"/>
  <c r="P97" i="11" s="1"/>
  <c r="O105" i="11"/>
  <c r="O113" i="11"/>
  <c r="O57" i="11"/>
  <c r="P57" i="11" s="1"/>
  <c r="O99" i="11"/>
  <c r="O107" i="11"/>
  <c r="O69" i="11"/>
  <c r="O85" i="11"/>
  <c r="O93" i="11"/>
  <c r="O101" i="11"/>
  <c r="P101" i="11" s="1"/>
  <c r="O109" i="11"/>
  <c r="O83" i="11"/>
  <c r="O95" i="11"/>
  <c r="O111" i="11"/>
  <c r="O58" i="11"/>
  <c r="O62" i="11"/>
  <c r="O66" i="11"/>
  <c r="O70" i="11"/>
  <c r="O74" i="11"/>
  <c r="O78" i="11"/>
  <c r="O82" i="11"/>
  <c r="O86" i="11"/>
  <c r="O90" i="11"/>
  <c r="O94" i="11"/>
  <c r="O98" i="11"/>
  <c r="P98" i="11" s="1"/>
  <c r="O102" i="11"/>
  <c r="P102" i="11" s="1"/>
  <c r="O106" i="11"/>
  <c r="O110" i="11"/>
  <c r="O114" i="11"/>
  <c r="O59" i="11"/>
  <c r="O67" i="11"/>
  <c r="O71" i="11"/>
  <c r="O79" i="11"/>
  <c r="O91" i="11"/>
  <c r="O115" i="11"/>
  <c r="O63" i="11"/>
  <c r="P63" i="11" s="1"/>
  <c r="O75" i="11"/>
  <c r="O87" i="11"/>
  <c r="P87" i="11" s="1"/>
  <c r="O103" i="11"/>
  <c r="D217" i="11"/>
  <c r="D60" i="11"/>
  <c r="D64" i="11"/>
  <c r="D68" i="11"/>
  <c r="D72" i="11"/>
  <c r="D76" i="11"/>
  <c r="D80" i="11"/>
  <c r="D84" i="11"/>
  <c r="D88" i="11"/>
  <c r="D92" i="11"/>
  <c r="D96" i="11"/>
  <c r="D100" i="11"/>
  <c r="D104" i="11"/>
  <c r="D108" i="11"/>
  <c r="D112" i="11"/>
  <c r="D116" i="11"/>
  <c r="D63" i="11"/>
  <c r="D75" i="11"/>
  <c r="D83" i="11"/>
  <c r="D91" i="11"/>
  <c r="D99" i="11"/>
  <c r="D107" i="11"/>
  <c r="D115" i="11"/>
  <c r="D61" i="11"/>
  <c r="D65" i="11"/>
  <c r="D69" i="11"/>
  <c r="D73" i="11"/>
  <c r="D77" i="11"/>
  <c r="D81" i="11"/>
  <c r="D85" i="11"/>
  <c r="D89" i="11"/>
  <c r="D93" i="11"/>
  <c r="D97" i="11"/>
  <c r="D101" i="11"/>
  <c r="D105" i="11"/>
  <c r="D109" i="11"/>
  <c r="D113" i="11"/>
  <c r="D57" i="11"/>
  <c r="E57" i="11" s="1"/>
  <c r="D58" i="11"/>
  <c r="D62" i="11"/>
  <c r="E62" i="11" s="1"/>
  <c r="D66" i="11"/>
  <c r="D70" i="11"/>
  <c r="E70" i="11" s="1"/>
  <c r="D74" i="11"/>
  <c r="E74" i="11" s="1"/>
  <c r="D78" i="11"/>
  <c r="E78" i="11" s="1"/>
  <c r="D82" i="11"/>
  <c r="D86" i="11"/>
  <c r="E86" i="11" s="1"/>
  <c r="D90" i="11"/>
  <c r="E90" i="11" s="1"/>
  <c r="D94" i="11"/>
  <c r="E94" i="11" s="1"/>
  <c r="D98" i="11"/>
  <c r="E98" i="11" s="1"/>
  <c r="D102" i="11"/>
  <c r="E102" i="11" s="1"/>
  <c r="D106" i="11"/>
  <c r="E106" i="11" s="1"/>
  <c r="D110" i="11"/>
  <c r="E110" i="11" s="1"/>
  <c r="D114" i="11"/>
  <c r="E114" i="11" s="1"/>
  <c r="D59" i="11"/>
  <c r="D67" i="11"/>
  <c r="D71" i="11"/>
  <c r="D79" i="11"/>
  <c r="D87" i="11"/>
  <c r="E87" i="11" s="1"/>
  <c r="D95" i="11"/>
  <c r="D103" i="11"/>
  <c r="D111" i="11"/>
  <c r="D147" i="11"/>
  <c r="D164" i="11"/>
  <c r="D226" i="11"/>
  <c r="D142" i="11"/>
  <c r="D300" i="11"/>
  <c r="D211" i="11"/>
  <c r="D319" i="11"/>
  <c r="D138" i="11"/>
  <c r="D330" i="11"/>
  <c r="D312" i="11"/>
  <c r="D237" i="11"/>
  <c r="D207" i="11"/>
  <c r="D204" i="11"/>
  <c r="D234" i="11"/>
  <c r="D316" i="11"/>
  <c r="D289" i="11"/>
  <c r="D162" i="11"/>
  <c r="D255" i="11"/>
  <c r="D224" i="11"/>
  <c r="D308" i="11"/>
  <c r="D303" i="11"/>
  <c r="D178" i="11"/>
  <c r="D278" i="11"/>
  <c r="D151" i="11"/>
  <c r="D156" i="11"/>
  <c r="D272" i="11"/>
  <c r="D202" i="11"/>
  <c r="D166" i="11"/>
  <c r="D276" i="11"/>
  <c r="D205" i="11"/>
  <c r="D309" i="11"/>
  <c r="D160" i="11"/>
  <c r="D227" i="11"/>
  <c r="D294" i="11"/>
  <c r="D158" i="11"/>
  <c r="D315" i="11"/>
  <c r="D305" i="11"/>
  <c r="D275" i="11"/>
  <c r="D129" i="11"/>
  <c r="D256" i="11"/>
  <c r="D133" i="11"/>
  <c r="D258" i="11"/>
  <c r="D273" i="11"/>
  <c r="D317" i="11"/>
  <c r="D153" i="11"/>
  <c r="D235" i="11"/>
  <c r="D310" i="11"/>
  <c r="D163" i="11"/>
  <c r="D257" i="11"/>
  <c r="D242" i="11"/>
  <c r="D230" i="11"/>
  <c r="D165" i="11"/>
  <c r="D141" i="11"/>
  <c r="D292" i="11"/>
  <c r="D243" i="11"/>
  <c r="D218" i="11"/>
  <c r="D177" i="11"/>
  <c r="D145" i="11"/>
  <c r="D296" i="11"/>
  <c r="D246" i="11"/>
  <c r="D221" i="11"/>
  <c r="D277" i="11"/>
  <c r="D297" i="11"/>
  <c r="D321" i="11"/>
  <c r="D146" i="11"/>
  <c r="D167" i="11"/>
  <c r="D182" i="11"/>
  <c r="D219" i="11"/>
  <c r="D248" i="11"/>
  <c r="D282" i="11"/>
  <c r="D314" i="11"/>
  <c r="D131" i="11"/>
  <c r="D175" i="11"/>
  <c r="D244" i="11"/>
  <c r="D155" i="11"/>
  <c r="D233" i="11"/>
  <c r="D144" i="11"/>
  <c r="D220" i="11"/>
  <c r="D228" i="11"/>
  <c r="D206" i="11"/>
  <c r="D169" i="11"/>
  <c r="D299" i="11"/>
  <c r="D170" i="11"/>
  <c r="D328" i="11"/>
  <c r="D280" i="11"/>
  <c r="D238" i="11"/>
  <c r="D213" i="11"/>
  <c r="D161" i="11"/>
  <c r="D137" i="11"/>
  <c r="D284" i="11"/>
  <c r="D240" i="11"/>
  <c r="D216" i="11"/>
  <c r="D285" i="11"/>
  <c r="D301" i="11"/>
  <c r="D325" i="11"/>
  <c r="D134" i="11"/>
  <c r="D171" i="11"/>
  <c r="D186" i="11"/>
  <c r="D203" i="11"/>
  <c r="D223" i="11"/>
  <c r="D251" i="11"/>
  <c r="D304" i="11"/>
  <c r="D326" i="11"/>
  <c r="D154" i="11"/>
  <c r="D187" i="11"/>
  <c r="D200" i="11"/>
  <c r="D214" i="11"/>
  <c r="D311" i="11"/>
  <c r="D201" i="11"/>
  <c r="D291" i="11"/>
  <c r="D249" i="11"/>
  <c r="D271" i="11"/>
  <c r="D180" i="11"/>
  <c r="D287" i="11"/>
  <c r="D176" i="11"/>
  <c r="D239" i="11"/>
  <c r="D307" i="11"/>
  <c r="D173" i="11"/>
  <c r="D212" i="11"/>
  <c r="D254" i="11"/>
  <c r="D327" i="11"/>
  <c r="D188" i="11"/>
  <c r="D225" i="11"/>
  <c r="D283" i="11"/>
  <c r="D132" i="11"/>
  <c r="D183" i="11"/>
  <c r="D172" i="11"/>
  <c r="D150" i="11"/>
  <c r="D143" i="11"/>
  <c r="D322" i="11"/>
  <c r="D306" i="11"/>
  <c r="D290" i="11"/>
  <c r="D274" i="11"/>
  <c r="D245" i="11"/>
  <c r="D231" i="11"/>
  <c r="D215" i="11"/>
  <c r="D174" i="11"/>
  <c r="D157" i="11"/>
  <c r="D130" i="11"/>
  <c r="D329" i="11"/>
  <c r="D313" i="11"/>
  <c r="D293" i="11"/>
  <c r="D281" i="11"/>
  <c r="D210" i="11"/>
  <c r="D232" i="11"/>
  <c r="D253" i="11"/>
  <c r="D302" i="11"/>
  <c r="D324" i="11"/>
  <c r="D152" i="11"/>
  <c r="D185" i="11"/>
  <c r="D208" i="11"/>
  <c r="D229" i="11"/>
  <c r="D250" i="11"/>
  <c r="D288" i="11"/>
  <c r="D320" i="11"/>
  <c r="D149" i="11"/>
  <c r="D181" i="11"/>
  <c r="D136" i="11"/>
  <c r="D247" i="11"/>
  <c r="D140" i="11"/>
  <c r="D209" i="11"/>
  <c r="D252" i="11"/>
  <c r="D323" i="11"/>
  <c r="D184" i="11"/>
  <c r="D222" i="11"/>
  <c r="D279" i="11"/>
  <c r="D148" i="11"/>
  <c r="D236" i="11"/>
  <c r="D295" i="11"/>
  <c r="D159" i="11"/>
  <c r="D179" i="11"/>
  <c r="D168" i="11"/>
  <c r="D135" i="11"/>
  <c r="D139" i="11"/>
  <c r="D318" i="11"/>
  <c r="D298" i="11"/>
  <c r="D286" i="11"/>
  <c r="D259" i="11"/>
  <c r="D241" i="11"/>
  <c r="O216" i="11"/>
  <c r="O168" i="11"/>
  <c r="O297" i="11"/>
  <c r="AA189" i="11"/>
  <c r="O153" i="11"/>
  <c r="O169" i="11"/>
  <c r="O291" i="11"/>
  <c r="O158" i="11"/>
  <c r="O221" i="11"/>
  <c r="O298" i="11"/>
  <c r="O211" i="11"/>
  <c r="O296" i="11"/>
  <c r="O163" i="11"/>
  <c r="U189" i="11"/>
  <c r="O232" i="11"/>
  <c r="O307" i="11"/>
  <c r="O313" i="11"/>
  <c r="O174" i="11"/>
  <c r="O185" i="11"/>
  <c r="U331" i="11"/>
  <c r="V271" i="11" s="1"/>
  <c r="W271" i="11" s="1"/>
  <c r="U260" i="11"/>
  <c r="V150" i="11" s="1"/>
  <c r="AA260" i="11"/>
  <c r="AB223" i="11" s="1"/>
  <c r="O236" i="11"/>
  <c r="O241" i="11"/>
  <c r="O246" i="11"/>
  <c r="O248" i="11"/>
  <c r="O323" i="11"/>
  <c r="O328" i="11"/>
  <c r="O329" i="11"/>
  <c r="O330" i="11"/>
  <c r="O135" i="11"/>
  <c r="O132" i="11"/>
  <c r="O137" i="11"/>
  <c r="O227" i="11"/>
  <c r="O251" i="11"/>
  <c r="O312" i="11"/>
  <c r="O314" i="11"/>
  <c r="O179" i="11"/>
  <c r="O184" i="11"/>
  <c r="O254" i="11"/>
  <c r="O259" i="11"/>
  <c r="O205" i="11"/>
  <c r="O284" i="11"/>
  <c r="O289" i="11"/>
  <c r="O290" i="11"/>
  <c r="O271" i="11"/>
  <c r="O142" i="11"/>
  <c r="O147" i="11"/>
  <c r="O152" i="11"/>
  <c r="AA331" i="11"/>
  <c r="AB305" i="11" s="1"/>
  <c r="O181" i="11"/>
  <c r="O161" i="11"/>
  <c r="O141" i="11"/>
  <c r="O180" i="11"/>
  <c r="O160" i="11"/>
  <c r="O140" i="11"/>
  <c r="O175" i="11"/>
  <c r="O155" i="11"/>
  <c r="O131" i="11"/>
  <c r="O170" i="11"/>
  <c r="O150" i="11"/>
  <c r="O134" i="11"/>
  <c r="O310" i="11"/>
  <c r="O279" i="11"/>
  <c r="O202" i="11"/>
  <c r="O309" i="11"/>
  <c r="O278" i="11"/>
  <c r="O200" i="11"/>
  <c r="O308" i="11"/>
  <c r="O277" i="11"/>
  <c r="O327" i="11"/>
  <c r="O303" i="11"/>
  <c r="O272" i="11"/>
  <c r="O257" i="11"/>
  <c r="O233" i="11"/>
  <c r="O213" i="11"/>
  <c r="O247" i="11"/>
  <c r="O228" i="11"/>
  <c r="O208" i="11"/>
  <c r="O245" i="11"/>
  <c r="O223" i="11"/>
  <c r="O203" i="11"/>
  <c r="O240" i="11"/>
  <c r="O222" i="11"/>
  <c r="O206" i="11"/>
  <c r="O173" i="11"/>
  <c r="O145" i="11"/>
  <c r="O176" i="11"/>
  <c r="O148" i="11"/>
  <c r="O183" i="11"/>
  <c r="O151" i="11"/>
  <c r="O182" i="11"/>
  <c r="O154" i="11"/>
  <c r="O326" i="11"/>
  <c r="O302" i="11"/>
  <c r="O283" i="11"/>
  <c r="O305" i="11"/>
  <c r="O286" i="11"/>
  <c r="O316" i="11"/>
  <c r="O273" i="11"/>
  <c r="O315" i="11"/>
  <c r="O276" i="11"/>
  <c r="O237" i="11"/>
  <c r="O225" i="11"/>
  <c r="O256" i="11"/>
  <c r="O224" i="11"/>
  <c r="O255" i="11"/>
  <c r="O231" i="11"/>
  <c r="O258" i="11"/>
  <c r="O230" i="11"/>
  <c r="O210" i="11"/>
  <c r="O149" i="11"/>
  <c r="O156" i="11"/>
  <c r="O159" i="11"/>
  <c r="O162" i="11"/>
  <c r="O306" i="11"/>
  <c r="O317" i="11"/>
  <c r="O320" i="11"/>
  <c r="O319" i="11"/>
  <c r="O295" i="11"/>
  <c r="O201" i="11"/>
  <c r="O204" i="11"/>
  <c r="O207" i="11"/>
  <c r="O214" i="11"/>
  <c r="O165" i="11"/>
  <c r="O129" i="11"/>
  <c r="O172" i="11"/>
  <c r="O144" i="11"/>
  <c r="O171" i="11"/>
  <c r="O143" i="11"/>
  <c r="O178" i="11"/>
  <c r="O146" i="11"/>
  <c r="O322" i="11"/>
  <c r="O294" i="11"/>
  <c r="O325" i="11"/>
  <c r="O301" i="11"/>
  <c r="O282" i="11"/>
  <c r="O304" i="11"/>
  <c r="O285" i="11"/>
  <c r="O311" i="11"/>
  <c r="O288" i="11"/>
  <c r="O243" i="11"/>
  <c r="O217" i="11"/>
  <c r="O242" i="11"/>
  <c r="O220" i="11"/>
  <c r="O252" i="11"/>
  <c r="O219" i="11"/>
  <c r="O250" i="11"/>
  <c r="O226" i="11"/>
  <c r="O157" i="11"/>
  <c r="O133" i="11"/>
  <c r="O164" i="11"/>
  <c r="O136" i="11"/>
  <c r="O167" i="11"/>
  <c r="O139" i="11"/>
  <c r="O166" i="11"/>
  <c r="O138" i="11"/>
  <c r="O318" i="11"/>
  <c r="O275" i="11"/>
  <c r="O321" i="11"/>
  <c r="O293" i="11"/>
  <c r="O324" i="11"/>
  <c r="O300" i="11"/>
  <c r="O281" i="11"/>
  <c r="O299" i="11"/>
  <c r="O280" i="11"/>
  <c r="O239" i="11"/>
  <c r="O209" i="11"/>
  <c r="O238" i="11"/>
  <c r="O212" i="11"/>
  <c r="O249" i="11"/>
  <c r="O215" i="11"/>
  <c r="O244" i="11"/>
  <c r="O218" i="11"/>
  <c r="O177" i="11"/>
  <c r="O188" i="11"/>
  <c r="O187" i="11"/>
  <c r="O186" i="11"/>
  <c r="O130" i="11"/>
  <c r="O287" i="11"/>
  <c r="O274" i="11"/>
  <c r="O292" i="11"/>
  <c r="O229" i="11"/>
  <c r="O253" i="11"/>
  <c r="O235" i="11"/>
  <c r="O234" i="11"/>
  <c r="E121" i="11"/>
  <c r="E263" i="11"/>
  <c r="AZ61" i="11"/>
  <c r="E192" i="11"/>
  <c r="F18" i="12"/>
  <c r="AM260" i="11"/>
  <c r="AN180" i="11" s="1"/>
  <c r="AM189" i="11"/>
  <c r="AS189" i="11"/>
  <c r="AG189" i="11"/>
  <c r="H16" i="1"/>
  <c r="J19" i="1"/>
  <c r="AM331" i="11"/>
  <c r="AN328" i="11" s="1"/>
  <c r="AG331" i="11"/>
  <c r="AH308" i="11" s="1"/>
  <c r="AS331" i="11"/>
  <c r="AT278" i="11" s="1"/>
  <c r="AS260" i="11"/>
  <c r="AG260" i="11"/>
  <c r="AH202" i="11" s="1"/>
  <c r="C408" i="11"/>
  <c r="B15" i="8"/>
  <c r="E66" i="11" l="1"/>
  <c r="E82" i="11"/>
  <c r="E67" i="11"/>
  <c r="E105" i="11"/>
  <c r="E89" i="11"/>
  <c r="E73" i="11"/>
  <c r="E58" i="11"/>
  <c r="E59" i="11"/>
  <c r="P66" i="11"/>
  <c r="P93" i="11"/>
  <c r="P90" i="11"/>
  <c r="P109" i="11"/>
  <c r="P61" i="11"/>
  <c r="P86" i="11"/>
  <c r="P77" i="11"/>
  <c r="V117" i="11"/>
  <c r="P82" i="11"/>
  <c r="P114" i="11"/>
  <c r="P73" i="11"/>
  <c r="P91" i="11"/>
  <c r="P59" i="11"/>
  <c r="P70" i="11"/>
  <c r="P107" i="11"/>
  <c r="P105" i="11"/>
  <c r="P62" i="11"/>
  <c r="P75" i="11"/>
  <c r="P110" i="11"/>
  <c r="P89" i="11"/>
  <c r="P67" i="11"/>
  <c r="P74" i="11"/>
  <c r="P69" i="11"/>
  <c r="P81" i="11"/>
  <c r="P71" i="11"/>
  <c r="P94" i="11"/>
  <c r="P78" i="11"/>
  <c r="P83" i="11"/>
  <c r="P85" i="11"/>
  <c r="P65" i="11"/>
  <c r="P103" i="11"/>
  <c r="P115" i="11"/>
  <c r="P106" i="11"/>
  <c r="P58" i="11"/>
  <c r="P113" i="11"/>
  <c r="P104" i="11"/>
  <c r="P88" i="11"/>
  <c r="P72" i="11"/>
  <c r="P111" i="11"/>
  <c r="P116" i="11"/>
  <c r="P100" i="11"/>
  <c r="P84" i="11"/>
  <c r="P68" i="11"/>
  <c r="P79" i="11"/>
  <c r="P95" i="11"/>
  <c r="P99" i="11"/>
  <c r="P112" i="11"/>
  <c r="P96" i="11"/>
  <c r="P80" i="11"/>
  <c r="P64" i="11"/>
  <c r="P108" i="11"/>
  <c r="P92" i="11"/>
  <c r="P76" i="11"/>
  <c r="P60" i="11"/>
  <c r="E115" i="11"/>
  <c r="E83" i="11"/>
  <c r="E112" i="11"/>
  <c r="E80" i="11"/>
  <c r="E64" i="11"/>
  <c r="E101" i="11"/>
  <c r="E85" i="11"/>
  <c r="E69" i="11"/>
  <c r="E92" i="11"/>
  <c r="E95" i="11"/>
  <c r="E111" i="11"/>
  <c r="E79" i="11"/>
  <c r="E63" i="11"/>
  <c r="E107" i="11"/>
  <c r="E103" i="11"/>
  <c r="E71" i="11"/>
  <c r="E109" i="11"/>
  <c r="E93" i="11"/>
  <c r="E77" i="11"/>
  <c r="E61" i="11"/>
  <c r="E91" i="11"/>
  <c r="E116" i="11"/>
  <c r="E100" i="11"/>
  <c r="E84" i="11"/>
  <c r="E68" i="11"/>
  <c r="E96" i="11"/>
  <c r="E75" i="11"/>
  <c r="E108" i="11"/>
  <c r="I70" i="12" s="1"/>
  <c r="E76" i="11"/>
  <c r="E60" i="11"/>
  <c r="E113" i="11"/>
  <c r="E97" i="11"/>
  <c r="E81" i="11"/>
  <c r="E65" i="11"/>
  <c r="E99" i="11"/>
  <c r="E104" i="11"/>
  <c r="E88" i="11"/>
  <c r="E72" i="11"/>
  <c r="AB134" i="11"/>
  <c r="AB200" i="11"/>
  <c r="AC200" i="11" s="1"/>
  <c r="AB132" i="11"/>
  <c r="AB290" i="11"/>
  <c r="AN216" i="11"/>
  <c r="AN143" i="11"/>
  <c r="AN230" i="11"/>
  <c r="AB176" i="11"/>
  <c r="AB233" i="11"/>
  <c r="AB148" i="11"/>
  <c r="AB142" i="11"/>
  <c r="AB178" i="11"/>
  <c r="AB184" i="11"/>
  <c r="AB212" i="11"/>
  <c r="AB228" i="11"/>
  <c r="AB253" i="11"/>
  <c r="V239" i="11"/>
  <c r="AN210" i="11"/>
  <c r="AN245" i="11"/>
  <c r="V202" i="11"/>
  <c r="D331" i="11"/>
  <c r="E316" i="11" s="1"/>
  <c r="D189" i="11"/>
  <c r="D260" i="11"/>
  <c r="E133" i="11" s="1"/>
  <c r="AB256" i="11"/>
  <c r="AB205" i="11"/>
  <c r="AB258" i="11"/>
  <c r="AB248" i="11"/>
  <c r="AB161" i="11"/>
  <c r="AB141" i="11"/>
  <c r="AB209" i="11"/>
  <c r="AB224" i="11"/>
  <c r="AB204" i="11"/>
  <c r="AB241" i="11"/>
  <c r="AB151" i="11"/>
  <c r="AN151" i="11"/>
  <c r="AN166" i="11"/>
  <c r="V241" i="11"/>
  <c r="V187" i="11"/>
  <c r="V220" i="11"/>
  <c r="V137" i="11"/>
  <c r="AB252" i="11"/>
  <c r="AB229" i="11"/>
  <c r="AB138" i="11"/>
  <c r="AB177" i="11"/>
  <c r="AB170" i="11"/>
  <c r="AB225" i="11"/>
  <c r="AB160" i="11"/>
  <c r="AB242" i="11"/>
  <c r="AB244" i="11"/>
  <c r="AB158" i="11"/>
  <c r="AB130" i="11"/>
  <c r="AB220" i="11"/>
  <c r="AB182" i="11"/>
  <c r="AB249" i="11"/>
  <c r="AB235" i="11"/>
  <c r="AB155" i="11"/>
  <c r="AB183" i="11"/>
  <c r="AB246" i="11"/>
  <c r="AB250" i="11"/>
  <c r="AB257" i="11"/>
  <c r="AB172" i="11"/>
  <c r="AB135" i="11"/>
  <c r="AB247" i="11"/>
  <c r="AB188" i="11"/>
  <c r="AB153" i="11"/>
  <c r="AB181" i="11"/>
  <c r="V295" i="11"/>
  <c r="V225" i="11"/>
  <c r="V279" i="11"/>
  <c r="AB137" i="11"/>
  <c r="AB216" i="11"/>
  <c r="AB169" i="11"/>
  <c r="AB259" i="11"/>
  <c r="AB206" i="11"/>
  <c r="AB243" i="11"/>
  <c r="AB185" i="11"/>
  <c r="AB238" i="11"/>
  <c r="AB251" i="11"/>
  <c r="AB215" i="11"/>
  <c r="AB146" i="11"/>
  <c r="AB173" i="11"/>
  <c r="AB218" i="11"/>
  <c r="AB152" i="11"/>
  <c r="AB145" i="11"/>
  <c r="AB180" i="11"/>
  <c r="AB149" i="11"/>
  <c r="AN306" i="11"/>
  <c r="AB240" i="11"/>
  <c r="AB245" i="11"/>
  <c r="AB159" i="11"/>
  <c r="AB236" i="11"/>
  <c r="AB227" i="11"/>
  <c r="AB143" i="11"/>
  <c r="AB213" i="11"/>
  <c r="AB187" i="11"/>
  <c r="AB164" i="11"/>
  <c r="AB208" i="11"/>
  <c r="AB237" i="11"/>
  <c r="AB140" i="11"/>
  <c r="AB214" i="11"/>
  <c r="AB202" i="11"/>
  <c r="AB219" i="11"/>
  <c r="AB171" i="11"/>
  <c r="AB179" i="11"/>
  <c r="AB157" i="11"/>
  <c r="AB154" i="11"/>
  <c r="AB175" i="11"/>
  <c r="AB167" i="11"/>
  <c r="AB150" i="11"/>
  <c r="V308" i="11"/>
  <c r="V142" i="11"/>
  <c r="V259" i="11"/>
  <c r="AB166" i="11"/>
  <c r="AB317" i="11"/>
  <c r="AB287" i="11"/>
  <c r="AB310" i="11"/>
  <c r="AB283" i="11"/>
  <c r="AB234" i="11"/>
  <c r="AB207" i="11"/>
  <c r="AB226" i="11"/>
  <c r="AB254" i="11"/>
  <c r="AB232" i="11"/>
  <c r="AB131" i="11"/>
  <c r="AB147" i="11"/>
  <c r="AB165" i="11"/>
  <c r="AB222" i="11"/>
  <c r="AB129" i="11"/>
  <c r="AC129" i="11" s="1"/>
  <c r="AB217" i="11"/>
  <c r="AB255" i="11"/>
  <c r="AB239" i="11"/>
  <c r="AB168" i="11"/>
  <c r="AB163" i="11"/>
  <c r="AB133" i="11"/>
  <c r="AB221" i="11"/>
  <c r="AB210" i="11"/>
  <c r="AB201" i="11"/>
  <c r="AB211" i="11"/>
  <c r="AB156" i="11"/>
  <c r="AB186" i="11"/>
  <c r="AB230" i="11"/>
  <c r="AB203" i="11"/>
  <c r="AB162" i="11"/>
  <c r="AB144" i="11"/>
  <c r="AB136" i="11"/>
  <c r="AB139" i="11"/>
  <c r="AB286" i="11"/>
  <c r="AB296" i="11"/>
  <c r="AN144" i="11"/>
  <c r="AN154" i="11"/>
  <c r="V296" i="11"/>
  <c r="V172" i="11"/>
  <c r="V314" i="11"/>
  <c r="V153" i="11"/>
  <c r="V298" i="11"/>
  <c r="V328" i="11"/>
  <c r="V178" i="11"/>
  <c r="V242" i="11"/>
  <c r="V188" i="11"/>
  <c r="V305" i="11"/>
  <c r="V133" i="11"/>
  <c r="AB299" i="11"/>
  <c r="AB294" i="11"/>
  <c r="AB330" i="11"/>
  <c r="AB303" i="11"/>
  <c r="AB329" i="11"/>
  <c r="AN240" i="11"/>
  <c r="AN136" i="11"/>
  <c r="AN156" i="11"/>
  <c r="AN214" i="11"/>
  <c r="AN147" i="11"/>
  <c r="AN129" i="11"/>
  <c r="AO129" i="11" s="1"/>
  <c r="AN232" i="11"/>
  <c r="AN206" i="11"/>
  <c r="V315" i="11"/>
  <c r="V233" i="11"/>
  <c r="V304" i="11"/>
  <c r="V131" i="11"/>
  <c r="V248" i="11"/>
  <c r="V326" i="11"/>
  <c r="V288" i="11"/>
  <c r="V173" i="11"/>
  <c r="V209" i="11"/>
  <c r="V162" i="11"/>
  <c r="V170" i="11"/>
  <c r="V134" i="11"/>
  <c r="AB308" i="11"/>
  <c r="AB324" i="11"/>
  <c r="AB306" i="11"/>
  <c r="AB277" i="11"/>
  <c r="AB288" i="11"/>
  <c r="AB274" i="11"/>
  <c r="AB231" i="11"/>
  <c r="AN205" i="11"/>
  <c r="AN256" i="11"/>
  <c r="AN202" i="11"/>
  <c r="V245" i="11"/>
  <c r="AB298" i="11"/>
  <c r="AN142" i="11"/>
  <c r="AN150" i="11"/>
  <c r="AN159" i="11"/>
  <c r="AN254" i="11"/>
  <c r="AN152" i="11"/>
  <c r="V289" i="11"/>
  <c r="V310" i="11"/>
  <c r="V213" i="11"/>
  <c r="V171" i="11"/>
  <c r="V169" i="11"/>
  <c r="V285" i="11"/>
  <c r="V215" i="11"/>
  <c r="V257" i="11"/>
  <c r="V318" i="11"/>
  <c r="V157" i="11"/>
  <c r="AB291" i="11"/>
  <c r="AB289" i="11"/>
  <c r="AB325" i="11"/>
  <c r="AB327" i="11"/>
  <c r="AB322" i="11"/>
  <c r="AB285" i="11"/>
  <c r="AB307" i="11"/>
  <c r="AB271" i="11"/>
  <c r="AC271" i="11" s="1"/>
  <c r="AN255" i="11"/>
  <c r="AN175" i="11"/>
  <c r="AN212" i="11"/>
  <c r="AN135" i="11"/>
  <c r="AN131" i="11"/>
  <c r="AN201" i="11"/>
  <c r="AN155" i="11"/>
  <c r="AN173" i="11"/>
  <c r="AN169" i="11"/>
  <c r="AN220" i="11"/>
  <c r="AN168" i="11"/>
  <c r="AN215" i="11"/>
  <c r="AN234" i="11"/>
  <c r="AN225" i="11"/>
  <c r="AN148" i="11"/>
  <c r="AN141" i="11"/>
  <c r="AN167" i="11"/>
  <c r="AN259" i="11"/>
  <c r="AN185" i="11"/>
  <c r="AN231" i="11"/>
  <c r="AN149" i="11"/>
  <c r="AN246" i="11"/>
  <c r="AN183" i="11"/>
  <c r="AN239" i="11"/>
  <c r="AN219" i="11"/>
  <c r="AN241" i="11"/>
  <c r="AH282" i="11"/>
  <c r="AN310" i="11"/>
  <c r="AN322" i="11"/>
  <c r="AN312" i="11"/>
  <c r="V176" i="11"/>
  <c r="V143" i="11"/>
  <c r="V155" i="11"/>
  <c r="V140" i="11"/>
  <c r="V307" i="11"/>
  <c r="V232" i="11"/>
  <c r="V287" i="11"/>
  <c r="V158" i="11"/>
  <c r="V168" i="11"/>
  <c r="V163" i="11"/>
  <c r="V273" i="11"/>
  <c r="V227" i="11"/>
  <c r="V300" i="11"/>
  <c r="V282" i="11"/>
  <c r="V251" i="11"/>
  <c r="V281" i="11"/>
  <c r="V174" i="11"/>
  <c r="V159" i="11"/>
  <c r="V138" i="11"/>
  <c r="V201" i="11"/>
  <c r="V302" i="11"/>
  <c r="V247" i="11"/>
  <c r="V329" i="11"/>
  <c r="V249" i="11"/>
  <c r="V250" i="11"/>
  <c r="V237" i="11"/>
  <c r="V132" i="11"/>
  <c r="V323" i="11"/>
  <c r="V230" i="11"/>
  <c r="V316" i="11"/>
  <c r="V325" i="11"/>
  <c r="V183" i="11"/>
  <c r="V136" i="11"/>
  <c r="V154" i="11"/>
  <c r="V321" i="11"/>
  <c r="V212" i="11"/>
  <c r="V322" i="11"/>
  <c r="V210" i="11"/>
  <c r="V217" i="11"/>
  <c r="V231" i="11"/>
  <c r="V135" i="11"/>
  <c r="V186" i="11"/>
  <c r="V221" i="11"/>
  <c r="V299" i="11"/>
  <c r="V203" i="11"/>
  <c r="V165" i="11"/>
  <c r="V226" i="11"/>
  <c r="V216" i="11"/>
  <c r="V182" i="11"/>
  <c r="V303" i="11"/>
  <c r="V283" i="11"/>
  <c r="V309" i="11"/>
  <c r="V177" i="11"/>
  <c r="V167" i="11"/>
  <c r="V207" i="11"/>
  <c r="V330" i="11"/>
  <c r="V206" i="11"/>
  <c r="V208" i="11"/>
  <c r="V166" i="11"/>
  <c r="V223" i="11"/>
  <c r="V160" i="11"/>
  <c r="V139" i="11"/>
  <c r="V255" i="11"/>
  <c r="V246" i="11"/>
  <c r="V222" i="11"/>
  <c r="V252" i="11"/>
  <c r="V211" i="11"/>
  <c r="V175" i="11"/>
  <c r="V164" i="11"/>
  <c r="V184" i="11"/>
  <c r="V179" i="11"/>
  <c r="V205" i="11"/>
  <c r="V276" i="11"/>
  <c r="V240" i="11"/>
  <c r="V148" i="11"/>
  <c r="V181" i="11"/>
  <c r="V275" i="11"/>
  <c r="V293" i="11"/>
  <c r="V214" i="11"/>
  <c r="V253" i="11"/>
  <c r="V291" i="11"/>
  <c r="V278" i="11"/>
  <c r="V280" i="11"/>
  <c r="V180" i="11"/>
  <c r="V151" i="11"/>
  <c r="V256" i="11"/>
  <c r="V254" i="11"/>
  <c r="V317" i="11"/>
  <c r="V284" i="11"/>
  <c r="V228" i="11"/>
  <c r="V327" i="11"/>
  <c r="V294" i="11"/>
  <c r="V234" i="11"/>
  <c r="V152" i="11"/>
  <c r="V218" i="11"/>
  <c r="V236" i="11"/>
  <c r="V306" i="11"/>
  <c r="V244" i="11"/>
  <c r="V147" i="11"/>
  <c r="V129" i="11"/>
  <c r="W129" i="11" s="1"/>
  <c r="V292" i="11"/>
  <c r="V324" i="11"/>
  <c r="V301" i="11"/>
  <c r="V258" i="11"/>
  <c r="V313" i="11"/>
  <c r="V311" i="11"/>
  <c r="V277" i="11"/>
  <c r="V146" i="11"/>
  <c r="V204" i="11"/>
  <c r="V286" i="11"/>
  <c r="V200" i="11"/>
  <c r="W200" i="11" s="1"/>
  <c r="V297" i="11"/>
  <c r="V141" i="11"/>
  <c r="V145" i="11"/>
  <c r="V185" i="11"/>
  <c r="V319" i="11"/>
  <c r="V161" i="11"/>
  <c r="V235" i="11"/>
  <c r="V272" i="11"/>
  <c r="W272" i="11" s="1"/>
  <c r="W273" i="11" s="1"/>
  <c r="V274" i="11"/>
  <c r="V144" i="11"/>
  <c r="V243" i="11"/>
  <c r="V320" i="11"/>
  <c r="V229" i="11"/>
  <c r="V130" i="11"/>
  <c r="V290" i="11"/>
  <c r="V238" i="11"/>
  <c r="V156" i="11"/>
  <c r="V219" i="11"/>
  <c r="V224" i="11"/>
  <c r="V312" i="11"/>
  <c r="V149" i="11"/>
  <c r="AB309" i="11"/>
  <c r="AB315" i="11"/>
  <c r="AB295" i="11"/>
  <c r="AB328" i="11"/>
  <c r="AB321" i="11"/>
  <c r="AB284" i="11"/>
  <c r="AB320" i="11"/>
  <c r="AB326" i="11"/>
  <c r="AB313" i="11"/>
  <c r="AB278" i="11"/>
  <c r="AB297" i="11"/>
  <c r="AB314" i="11"/>
  <c r="AB312" i="11"/>
  <c r="AB318" i="11"/>
  <c r="AB292" i="11"/>
  <c r="AB174" i="11"/>
  <c r="AB319" i="11"/>
  <c r="AB311" i="11"/>
  <c r="AB282" i="11"/>
  <c r="AB304" i="11"/>
  <c r="AB293" i="11"/>
  <c r="AB300" i="11"/>
  <c r="AB281" i="11"/>
  <c r="AB273" i="11"/>
  <c r="AB302" i="11"/>
  <c r="AB272" i="11"/>
  <c r="AB276" i="11"/>
  <c r="AB316" i="11"/>
  <c r="AB280" i="11"/>
  <c r="AB275" i="11"/>
  <c r="AH278" i="11"/>
  <c r="AT129" i="11"/>
  <c r="AU129" i="11" s="1"/>
  <c r="AT259" i="11"/>
  <c r="AT132" i="11"/>
  <c r="AT291" i="11"/>
  <c r="AT326" i="11"/>
  <c r="AT290" i="11"/>
  <c r="AT299" i="11"/>
  <c r="AT288" i="11"/>
  <c r="AT308" i="11"/>
  <c r="AT284" i="11"/>
  <c r="AT314" i="11"/>
  <c r="AN285" i="11"/>
  <c r="AN271" i="11"/>
  <c r="AO271" i="11" s="1"/>
  <c r="AN316" i="11"/>
  <c r="AN287" i="11"/>
  <c r="AN283" i="11"/>
  <c r="AN161" i="11"/>
  <c r="AN139" i="11"/>
  <c r="AN221" i="11"/>
  <c r="AN213" i="11"/>
  <c r="AN208" i="11"/>
  <c r="AN209" i="11"/>
  <c r="AN204" i="11"/>
  <c r="AN243" i="11"/>
  <c r="AN229" i="11"/>
  <c r="AN179" i="11"/>
  <c r="AN257" i="11"/>
  <c r="AN138" i="11"/>
  <c r="AN146" i="11"/>
  <c r="AN163" i="11"/>
  <c r="AN218" i="11"/>
  <c r="AN253" i="11"/>
  <c r="AN176" i="11"/>
  <c r="AN184" i="11"/>
  <c r="AN250" i="11"/>
  <c r="AN140" i="11"/>
  <c r="AN137" i="11"/>
  <c r="AN157" i="11"/>
  <c r="AN211" i="11"/>
  <c r="AN223" i="11"/>
  <c r="AN200" i="11"/>
  <c r="AO200" i="11" s="1"/>
  <c r="AN252" i="11"/>
  <c r="AN227" i="11"/>
  <c r="AN251" i="11"/>
  <c r="AN171" i="11"/>
  <c r="AN217" i="11"/>
  <c r="AN242" i="11"/>
  <c r="AN165" i="11"/>
  <c r="AN181" i="11"/>
  <c r="AN203" i="11"/>
  <c r="AN188" i="11"/>
  <c r="AN238" i="11"/>
  <c r="AN153" i="11"/>
  <c r="AN162" i="11"/>
  <c r="AN134" i="11"/>
  <c r="AN236" i="11"/>
  <c r="AN164" i="11"/>
  <c r="AN233" i="11"/>
  <c r="AN170" i="11"/>
  <c r="AN178" i="11"/>
  <c r="AN182" i="11"/>
  <c r="AN244" i="11"/>
  <c r="AN174" i="11"/>
  <c r="AN249" i="11"/>
  <c r="AN186" i="11"/>
  <c r="AN145" i="11"/>
  <c r="AN160" i="11"/>
  <c r="AN207" i="11"/>
  <c r="AN187" i="11"/>
  <c r="AN222" i="11"/>
  <c r="AN133" i="11"/>
  <c r="AN228" i="11"/>
  <c r="AN289" i="11"/>
  <c r="AN177" i="11"/>
  <c r="AN226" i="11"/>
  <c r="AN294" i="11"/>
  <c r="AN158" i="11"/>
  <c r="AN300" i="11"/>
  <c r="AN298" i="11"/>
  <c r="AN130" i="11"/>
  <c r="AN281" i="11"/>
  <c r="AN235" i="11"/>
  <c r="AN132" i="11"/>
  <c r="AN224" i="11"/>
  <c r="AN247" i="11"/>
  <c r="AN258" i="11"/>
  <c r="AN248" i="11"/>
  <c r="AN237" i="11"/>
  <c r="AN172" i="11"/>
  <c r="O331" i="11"/>
  <c r="P299" i="11" s="1"/>
  <c r="O260" i="11"/>
  <c r="P164" i="11" s="1"/>
  <c r="AH312" i="11"/>
  <c r="O189" i="11"/>
  <c r="AB301" i="11"/>
  <c r="AB279" i="11"/>
  <c r="AB323" i="11"/>
  <c r="AH288" i="11"/>
  <c r="AH306" i="11"/>
  <c r="AH310" i="11"/>
  <c r="AH167" i="11"/>
  <c r="AH284" i="11"/>
  <c r="AT174" i="11"/>
  <c r="AT293" i="11"/>
  <c r="AN275" i="11"/>
  <c r="AT304" i="11"/>
  <c r="AT167" i="11"/>
  <c r="AT233" i="11"/>
  <c r="AT215" i="11"/>
  <c r="AT302" i="11"/>
  <c r="AT312" i="11"/>
  <c r="AT306" i="11"/>
  <c r="AN330" i="11"/>
  <c r="AT225" i="11"/>
  <c r="AN304" i="11"/>
  <c r="AN318" i="11"/>
  <c r="AT136" i="11"/>
  <c r="AT330" i="11"/>
  <c r="AT176" i="11"/>
  <c r="AT203" i="11"/>
  <c r="AT172" i="11"/>
  <c r="AT316" i="11"/>
  <c r="AH304" i="11"/>
  <c r="AT280" i="11"/>
  <c r="AT161" i="11"/>
  <c r="AT227" i="11"/>
  <c r="AT295" i="11"/>
  <c r="AT137" i="11"/>
  <c r="AT180" i="11"/>
  <c r="AT272" i="11"/>
  <c r="AT221" i="11"/>
  <c r="AT169" i="11"/>
  <c r="AT276" i="11"/>
  <c r="AT318" i="11"/>
  <c r="AT310" i="11"/>
  <c r="AT274" i="11"/>
  <c r="AH219" i="11"/>
  <c r="AH144" i="11"/>
  <c r="AH226" i="11"/>
  <c r="AH171" i="11"/>
  <c r="AT140" i="11"/>
  <c r="AT131" i="11"/>
  <c r="AH232" i="11"/>
  <c r="AT237" i="11"/>
  <c r="AH322" i="11"/>
  <c r="AH175" i="11"/>
  <c r="AH254" i="11"/>
  <c r="AH280" i="11"/>
  <c r="AH142" i="11"/>
  <c r="AT160" i="11"/>
  <c r="AH218" i="11"/>
  <c r="AH173" i="11"/>
  <c r="AH184" i="11"/>
  <c r="AH176" i="11"/>
  <c r="AT184" i="11"/>
  <c r="AT178" i="11"/>
  <c r="AH236" i="11"/>
  <c r="AT241" i="11"/>
  <c r="AH326" i="11"/>
  <c r="AT157" i="11"/>
  <c r="AH258" i="11"/>
  <c r="AT201" i="11"/>
  <c r="AT247" i="11"/>
  <c r="AH132" i="11"/>
  <c r="AT168" i="11"/>
  <c r="AH161" i="11"/>
  <c r="AT163" i="11"/>
  <c r="AT158" i="11"/>
  <c r="AH204" i="11"/>
  <c r="AT230" i="11"/>
  <c r="AH298" i="11"/>
  <c r="AH164" i="11"/>
  <c r="AH230" i="11"/>
  <c r="AT254" i="11"/>
  <c r="AH314" i="11"/>
  <c r="AH179" i="11"/>
  <c r="AH157" i="11"/>
  <c r="AT173" i="11"/>
  <c r="AT154" i="11"/>
  <c r="AH227" i="11"/>
  <c r="AT219" i="11"/>
  <c r="AN329" i="11"/>
  <c r="AN303" i="11"/>
  <c r="AN293" i="11"/>
  <c r="AN323" i="11"/>
  <c r="AN272" i="11"/>
  <c r="AN282" i="11"/>
  <c r="AN284" i="11"/>
  <c r="AN311" i="11"/>
  <c r="AN297" i="11"/>
  <c r="AN276" i="11"/>
  <c r="AN286" i="11"/>
  <c r="AN291" i="11"/>
  <c r="AN280" i="11"/>
  <c r="AN325" i="11"/>
  <c r="AN315" i="11"/>
  <c r="AN305" i="11"/>
  <c r="AN290" i="11"/>
  <c r="AN288" i="11"/>
  <c r="AN319" i="11"/>
  <c r="AN309" i="11"/>
  <c r="AN313" i="11"/>
  <c r="AN295" i="11"/>
  <c r="AN317" i="11"/>
  <c r="AN301" i="11"/>
  <c r="AN321" i="11"/>
  <c r="AN274" i="11"/>
  <c r="AN299" i="11"/>
  <c r="AN307" i="11"/>
  <c r="AN278" i="11"/>
  <c r="AN327" i="11"/>
  <c r="AH286" i="11"/>
  <c r="AH148" i="11"/>
  <c r="AH234" i="11"/>
  <c r="AT239" i="11"/>
  <c r="AN320" i="11"/>
  <c r="AH324" i="11"/>
  <c r="AT153" i="11"/>
  <c r="AH185" i="11"/>
  <c r="AT188" i="11"/>
  <c r="AT182" i="11"/>
  <c r="AH248" i="11"/>
  <c r="AT255" i="11"/>
  <c r="AT328" i="11"/>
  <c r="AH274" i="11"/>
  <c r="AH129" i="11"/>
  <c r="AI129" i="11" s="1"/>
  <c r="AT149" i="11"/>
  <c r="AH216" i="11"/>
  <c r="AT213" i="11"/>
  <c r="AN292" i="11"/>
  <c r="AH296" i="11"/>
  <c r="AH160" i="11"/>
  <c r="AH150" i="11"/>
  <c r="AU57" i="11"/>
  <c r="AH240" i="11"/>
  <c r="AH246" i="11"/>
  <c r="AT251" i="11"/>
  <c r="AH320" i="11"/>
  <c r="AT145" i="11"/>
  <c r="AH208" i="11"/>
  <c r="AT207" i="11"/>
  <c r="AH290" i="11"/>
  <c r="AT181" i="11"/>
  <c r="AT229" i="11"/>
  <c r="AN308" i="11"/>
  <c r="AH158" i="11"/>
  <c r="AH149" i="11"/>
  <c r="AH151" i="11"/>
  <c r="AH166" i="11"/>
  <c r="AH153" i="11"/>
  <c r="AH221" i="11"/>
  <c r="AH131" i="11"/>
  <c r="AH186" i="11"/>
  <c r="AH137" i="11"/>
  <c r="AH139" i="11"/>
  <c r="AH145" i="11"/>
  <c r="AH170" i="11"/>
  <c r="AH147" i="11"/>
  <c r="AH141" i="11"/>
  <c r="AH181" i="11"/>
  <c r="AH213" i="11"/>
  <c r="AH237" i="11"/>
  <c r="AH143" i="11"/>
  <c r="AH215" i="11"/>
  <c r="AH233" i="11"/>
  <c r="AH225" i="11"/>
  <c r="AH203" i="11"/>
  <c r="AH205" i="11"/>
  <c r="AH130" i="11"/>
  <c r="AH182" i="11"/>
  <c r="AH251" i="11"/>
  <c r="AH247" i="11"/>
  <c r="AH224" i="11"/>
  <c r="AH259" i="11"/>
  <c r="AH245" i="11"/>
  <c r="AH217" i="11"/>
  <c r="AH162" i="11"/>
  <c r="AH235" i="11"/>
  <c r="AH253" i="11"/>
  <c r="AH231" i="11"/>
  <c r="AH211" i="11"/>
  <c r="AH243" i="11"/>
  <c r="AH209" i="11"/>
  <c r="AH255" i="11"/>
  <c r="AH257" i="11"/>
  <c r="AH249" i="11"/>
  <c r="AH229" i="11"/>
  <c r="AH239" i="11"/>
  <c r="AH135" i="11"/>
  <c r="AH228" i="11"/>
  <c r="AH201" i="11"/>
  <c r="AH207" i="11"/>
  <c r="AH241" i="11"/>
  <c r="AH220" i="11"/>
  <c r="AH133" i="11"/>
  <c r="AH155" i="11"/>
  <c r="AH177" i="11"/>
  <c r="AH188" i="11"/>
  <c r="AH242" i="11"/>
  <c r="AH180" i="11"/>
  <c r="AH134" i="11"/>
  <c r="AH165" i="11"/>
  <c r="AH214" i="11"/>
  <c r="AH252" i="11"/>
  <c r="AH140" i="11"/>
  <c r="AH223" i="11"/>
  <c r="AT155" i="11"/>
  <c r="AT183" i="11"/>
  <c r="AT179" i="11"/>
  <c r="AT159" i="11"/>
  <c r="AT170" i="11"/>
  <c r="AT166" i="11"/>
  <c r="AT162" i="11"/>
  <c r="AT143" i="11"/>
  <c r="AT187" i="11"/>
  <c r="AT151" i="11"/>
  <c r="AT147" i="11"/>
  <c r="AT200" i="11"/>
  <c r="AU200" i="11" s="1"/>
  <c r="AT210" i="11"/>
  <c r="AT242" i="11"/>
  <c r="AT139" i="11"/>
  <c r="AT130" i="11"/>
  <c r="AT240" i="11"/>
  <c r="AT206" i="11"/>
  <c r="AT238" i="11"/>
  <c r="AT218" i="11"/>
  <c r="AT204" i="11"/>
  <c r="AT231" i="11"/>
  <c r="AT175" i="11"/>
  <c r="AT226" i="11"/>
  <c r="AT228" i="11"/>
  <c r="AT252" i="11"/>
  <c r="AT224" i="11"/>
  <c r="AT202" i="11"/>
  <c r="AT250" i="11"/>
  <c r="AT214" i="11"/>
  <c r="AT246" i="11"/>
  <c r="AT212" i="11"/>
  <c r="AT253" i="11"/>
  <c r="AT208" i="11"/>
  <c r="AT248" i="11"/>
  <c r="AT236" i="11"/>
  <c r="AT232" i="11"/>
  <c r="AT133" i="11"/>
  <c r="AT258" i="11"/>
  <c r="AT234" i="11"/>
  <c r="AT222" i="11"/>
  <c r="AT216" i="11"/>
  <c r="AT256" i="11"/>
  <c r="AT220" i="11"/>
  <c r="AT244" i="11"/>
  <c r="AH146" i="11"/>
  <c r="AH174" i="11"/>
  <c r="AT148" i="11"/>
  <c r="AT142" i="11"/>
  <c r="AT245" i="11"/>
  <c r="AT135" i="11"/>
  <c r="AH275" i="11"/>
  <c r="AH295" i="11"/>
  <c r="AH297" i="11"/>
  <c r="AH287" i="11"/>
  <c r="AH277" i="11"/>
  <c r="AH311" i="11"/>
  <c r="AH291" i="11"/>
  <c r="AH281" i="11"/>
  <c r="AH285" i="11"/>
  <c r="AH307" i="11"/>
  <c r="AH317" i="11"/>
  <c r="AH329" i="11"/>
  <c r="AH319" i="11"/>
  <c r="AH305" i="11"/>
  <c r="AH283" i="11"/>
  <c r="AH273" i="11"/>
  <c r="AH279" i="11"/>
  <c r="AH325" i="11"/>
  <c r="AH327" i="11"/>
  <c r="AH313" i="11"/>
  <c r="AH293" i="11"/>
  <c r="AH321" i="11"/>
  <c r="AH303" i="11"/>
  <c r="AH316" i="11"/>
  <c r="AH271" i="11"/>
  <c r="AI271" i="11" s="1"/>
  <c r="AH299" i="11"/>
  <c r="AH301" i="11"/>
  <c r="AH289" i="11"/>
  <c r="AH309" i="11"/>
  <c r="AH323" i="11"/>
  <c r="W57" i="11"/>
  <c r="AH178" i="11"/>
  <c r="AT144" i="11"/>
  <c r="AT138" i="11"/>
  <c r="AT235" i="11"/>
  <c r="AH315" i="11"/>
  <c r="AH172" i="11"/>
  <c r="AH250" i="11"/>
  <c r="AT257" i="11"/>
  <c r="AH276" i="11"/>
  <c r="AH138" i="11"/>
  <c r="AT185" i="11"/>
  <c r="AH169" i="11"/>
  <c r="AT171" i="11"/>
  <c r="AT165" i="11"/>
  <c r="AH210" i="11"/>
  <c r="AH183" i="11"/>
  <c r="AT152" i="11"/>
  <c r="AT146" i="11"/>
  <c r="AH200" i="11"/>
  <c r="AI200" i="11" s="1"/>
  <c r="AT211" i="11"/>
  <c r="AN279" i="11"/>
  <c r="AH294" i="11"/>
  <c r="AH156" i="11"/>
  <c r="AH206" i="11"/>
  <c r="AT217" i="11"/>
  <c r="AN296" i="11"/>
  <c r="AH300" i="11"/>
  <c r="AH168" i="11"/>
  <c r="AH163" i="11"/>
  <c r="AT134" i="11"/>
  <c r="AH256" i="11"/>
  <c r="AT289" i="11"/>
  <c r="AT275" i="11"/>
  <c r="AT292" i="11"/>
  <c r="AT315" i="11"/>
  <c r="AT287" i="11"/>
  <c r="AT281" i="11"/>
  <c r="AT307" i="11"/>
  <c r="AT273" i="11"/>
  <c r="AT321" i="11"/>
  <c r="AT285" i="11"/>
  <c r="AT271" i="11"/>
  <c r="AU271" i="11" s="1"/>
  <c r="AT323" i="11"/>
  <c r="AT319" i="11"/>
  <c r="AT311" i="11"/>
  <c r="AT300" i="11"/>
  <c r="AT277" i="11"/>
  <c r="AT327" i="11"/>
  <c r="AT303" i="11"/>
  <c r="AT329" i="11"/>
  <c r="AT313" i="11"/>
  <c r="AT296" i="11"/>
  <c r="AT317" i="11"/>
  <c r="AT301" i="11"/>
  <c r="AT298" i="11"/>
  <c r="AT283" i="11"/>
  <c r="AT325" i="11"/>
  <c r="AT279" i="11"/>
  <c r="AT294" i="11"/>
  <c r="AT305" i="11"/>
  <c r="AT309" i="11"/>
  <c r="AT320" i="11"/>
  <c r="AN326" i="11"/>
  <c r="AH330" i="11"/>
  <c r="AT164" i="11"/>
  <c r="AT205" i="11"/>
  <c r="AT282" i="11"/>
  <c r="AN273" i="11"/>
  <c r="AH272" i="11"/>
  <c r="AH136" i="11"/>
  <c r="AT177" i="11"/>
  <c r="AH159" i="11"/>
  <c r="AT186" i="11"/>
  <c r="AH244" i="11"/>
  <c r="AT249" i="11"/>
  <c r="AT324" i="11"/>
  <c r="AN314" i="11"/>
  <c r="AH318" i="11"/>
  <c r="AT141" i="11"/>
  <c r="AH212" i="11"/>
  <c r="AT209" i="11"/>
  <c r="AT286" i="11"/>
  <c r="AN277" i="11"/>
  <c r="AH292" i="11"/>
  <c r="AH154" i="11"/>
  <c r="J16" i="1"/>
  <c r="L19" i="1"/>
  <c r="AH187" i="11"/>
  <c r="AT156" i="11"/>
  <c r="AT150" i="11"/>
  <c r="AH222" i="11"/>
  <c r="AT223" i="11"/>
  <c r="AT297" i="11"/>
  <c r="AN302" i="11"/>
  <c r="AH302" i="11"/>
  <c r="AH152" i="11"/>
  <c r="AH238" i="11"/>
  <c r="AT243" i="11"/>
  <c r="AT322" i="11"/>
  <c r="AN324" i="11"/>
  <c r="AH328" i="11"/>
  <c r="B16" i="8"/>
  <c r="C409" i="11"/>
  <c r="P117" i="11" l="1"/>
  <c r="AO57" i="11"/>
  <c r="AO58" i="11" s="1"/>
  <c r="AO59" i="11" s="1"/>
  <c r="AO60" i="11" s="1"/>
  <c r="AO61" i="11" s="1"/>
  <c r="AO62" i="11" s="1"/>
  <c r="AO63" i="11" s="1"/>
  <c r="AO64" i="11" s="1"/>
  <c r="AO65" i="11" s="1"/>
  <c r="AO66" i="11" s="1"/>
  <c r="AO67" i="11" s="1"/>
  <c r="AO68" i="11" s="1"/>
  <c r="AO69" i="11" s="1"/>
  <c r="AO70" i="11" s="1"/>
  <c r="AO71" i="11" s="1"/>
  <c r="AO72" i="11" s="1"/>
  <c r="AO73" i="11" s="1"/>
  <c r="AO74" i="11" s="1"/>
  <c r="AO75" i="11" s="1"/>
  <c r="AO76" i="11" s="1"/>
  <c r="AO77" i="11" s="1"/>
  <c r="AO78" i="11" s="1"/>
  <c r="AO79" i="11" s="1"/>
  <c r="AO80" i="11" s="1"/>
  <c r="AO81" i="11" s="1"/>
  <c r="AO82" i="11" s="1"/>
  <c r="AO83" i="11" s="1"/>
  <c r="AO84" i="11" s="1"/>
  <c r="AO85" i="11" s="1"/>
  <c r="AO86" i="11" s="1"/>
  <c r="AO87" i="11" s="1"/>
  <c r="AO88" i="11" s="1"/>
  <c r="AO89" i="11" s="1"/>
  <c r="AO90" i="11" s="1"/>
  <c r="AO91" i="11" s="1"/>
  <c r="AO92" i="11" s="1"/>
  <c r="AO93" i="11" s="1"/>
  <c r="AO94" i="11" s="1"/>
  <c r="AO95" i="11" s="1"/>
  <c r="AO96" i="11" s="1"/>
  <c r="AO97" i="11" s="1"/>
  <c r="AO98" i="11" s="1"/>
  <c r="AO99" i="11" s="1"/>
  <c r="AO100" i="11" s="1"/>
  <c r="AO101" i="11" s="1"/>
  <c r="AO102" i="11" s="1"/>
  <c r="AO103" i="11" s="1"/>
  <c r="AO104" i="11" s="1"/>
  <c r="AO105" i="11" s="1"/>
  <c r="AO106" i="11" s="1"/>
  <c r="AO107" i="11" s="1"/>
  <c r="AO108" i="11" s="1"/>
  <c r="AO109" i="11" s="1"/>
  <c r="AO110" i="11" s="1"/>
  <c r="AO111" i="11" s="1"/>
  <c r="AO112" i="11" s="1"/>
  <c r="AO113" i="11" s="1"/>
  <c r="AO114" i="11" s="1"/>
  <c r="AO115" i="11" s="1"/>
  <c r="AO116" i="11" s="1"/>
  <c r="AN117" i="11"/>
  <c r="AI57" i="11"/>
  <c r="AI58" i="11" s="1"/>
  <c r="AI59" i="11" s="1"/>
  <c r="AI60" i="11" s="1"/>
  <c r="AI61" i="11" s="1"/>
  <c r="AI62" i="11" s="1"/>
  <c r="AI63" i="11" s="1"/>
  <c r="AI64" i="11" s="1"/>
  <c r="AI65" i="11" s="1"/>
  <c r="AI66" i="11" s="1"/>
  <c r="AI67" i="11" s="1"/>
  <c r="AI68" i="11" s="1"/>
  <c r="AI69" i="11" s="1"/>
  <c r="AI70" i="11" s="1"/>
  <c r="AI71" i="11" s="1"/>
  <c r="AI72" i="11" s="1"/>
  <c r="AI73" i="11" s="1"/>
  <c r="AI74" i="11" s="1"/>
  <c r="AI75" i="11" s="1"/>
  <c r="AI76" i="11" s="1"/>
  <c r="AI77" i="11" s="1"/>
  <c r="AI78" i="11" s="1"/>
  <c r="AI79" i="11" s="1"/>
  <c r="AI80" i="11" s="1"/>
  <c r="AI81" i="11" s="1"/>
  <c r="AI82" i="11" s="1"/>
  <c r="AI83" i="11" s="1"/>
  <c r="AI84" i="11" s="1"/>
  <c r="AI85" i="11" s="1"/>
  <c r="AI86" i="11" s="1"/>
  <c r="AI87" i="11" s="1"/>
  <c r="AI88" i="11" s="1"/>
  <c r="AI89" i="11" s="1"/>
  <c r="AI90" i="11" s="1"/>
  <c r="AI91" i="11" s="1"/>
  <c r="AI92" i="11" s="1"/>
  <c r="AI93" i="11" s="1"/>
  <c r="AI94" i="11" s="1"/>
  <c r="AI95" i="11" s="1"/>
  <c r="AI96" i="11" s="1"/>
  <c r="AI97" i="11" s="1"/>
  <c r="AI98" i="11" s="1"/>
  <c r="AI99" i="11" s="1"/>
  <c r="AI100" i="11" s="1"/>
  <c r="AI101" i="11" s="1"/>
  <c r="AI102" i="11" s="1"/>
  <c r="AI103" i="11" s="1"/>
  <c r="AI104" i="11" s="1"/>
  <c r="AI105" i="11" s="1"/>
  <c r="AI106" i="11" s="1"/>
  <c r="AI107" i="11" s="1"/>
  <c r="AI108" i="11" s="1"/>
  <c r="AI109" i="11" s="1"/>
  <c r="AI110" i="11" s="1"/>
  <c r="AI111" i="11" s="1"/>
  <c r="AI112" i="11" s="1"/>
  <c r="AI113" i="11" s="1"/>
  <c r="AI114" i="11" s="1"/>
  <c r="AI115" i="11" s="1"/>
  <c r="AI116" i="11" s="1"/>
  <c r="AH117" i="11"/>
  <c r="AC57" i="11"/>
  <c r="AB117" i="11"/>
  <c r="AC201" i="11"/>
  <c r="AC202" i="11" s="1"/>
  <c r="AC203" i="11" s="1"/>
  <c r="AC204" i="11" s="1"/>
  <c r="AC205" i="11" s="1"/>
  <c r="AC206" i="11" s="1"/>
  <c r="AC207" i="11" s="1"/>
  <c r="AC208" i="11" s="1"/>
  <c r="AC209" i="11" s="1"/>
  <c r="AC210" i="11" s="1"/>
  <c r="AC211" i="11" s="1"/>
  <c r="AC212" i="11" s="1"/>
  <c r="AC213" i="11" s="1"/>
  <c r="AC214" i="11" s="1"/>
  <c r="AC215" i="11" s="1"/>
  <c r="AC216" i="11" s="1"/>
  <c r="AC217" i="11" s="1"/>
  <c r="AC218" i="11" s="1"/>
  <c r="AC219" i="11" s="1"/>
  <c r="AC220" i="11" s="1"/>
  <c r="AC221" i="11" s="1"/>
  <c r="AC222" i="11" s="1"/>
  <c r="AC223" i="11" s="1"/>
  <c r="AC224" i="11" s="1"/>
  <c r="AC225" i="11" s="1"/>
  <c r="AC226" i="11" s="1"/>
  <c r="AC227" i="11" s="1"/>
  <c r="AC228" i="11" s="1"/>
  <c r="AC229" i="11" s="1"/>
  <c r="AC230" i="11" s="1"/>
  <c r="AC231" i="11" s="1"/>
  <c r="AC232" i="11" s="1"/>
  <c r="AC233" i="11" s="1"/>
  <c r="AC234" i="11" s="1"/>
  <c r="AC235" i="11" s="1"/>
  <c r="AC236" i="11" s="1"/>
  <c r="AC237" i="11" s="1"/>
  <c r="AC238" i="11" s="1"/>
  <c r="AC239" i="11" s="1"/>
  <c r="AC240" i="11" s="1"/>
  <c r="AC241" i="11" s="1"/>
  <c r="AC242" i="11" s="1"/>
  <c r="AC243" i="11" s="1"/>
  <c r="AC244" i="11" s="1"/>
  <c r="AC245" i="11" s="1"/>
  <c r="AC246" i="11" s="1"/>
  <c r="AC247" i="11" s="1"/>
  <c r="AC248" i="11" s="1"/>
  <c r="AC249" i="11" s="1"/>
  <c r="AC250" i="11" s="1"/>
  <c r="AC251" i="11" s="1"/>
  <c r="AC252" i="11" s="1"/>
  <c r="AC253" i="11" s="1"/>
  <c r="AC254" i="11" s="1"/>
  <c r="AC255" i="11" s="1"/>
  <c r="AC256" i="11" s="1"/>
  <c r="AC257" i="11" s="1"/>
  <c r="AC258" i="11" s="1"/>
  <c r="AC259" i="11" s="1"/>
  <c r="E275" i="11"/>
  <c r="E280" i="11"/>
  <c r="W58" i="11"/>
  <c r="W59" i="11" s="1"/>
  <c r="W60" i="11" s="1"/>
  <c r="W61" i="11" s="1"/>
  <c r="W62" i="11" s="1"/>
  <c r="W63" i="11" s="1"/>
  <c r="W64" i="11" s="1"/>
  <c r="W65" i="11" s="1"/>
  <c r="W66" i="11" s="1"/>
  <c r="W67" i="11" s="1"/>
  <c r="W68" i="11" s="1"/>
  <c r="W69" i="11" s="1"/>
  <c r="W70" i="11" s="1"/>
  <c r="W71" i="11" s="1"/>
  <c r="W72" i="11" s="1"/>
  <c r="W73" i="11" s="1"/>
  <c r="W74" i="11" s="1"/>
  <c r="W75" i="11" s="1"/>
  <c r="W76" i="11" s="1"/>
  <c r="W77" i="11" s="1"/>
  <c r="W78" i="11" s="1"/>
  <c r="W79" i="11" s="1"/>
  <c r="W80" i="11" s="1"/>
  <c r="W81" i="11" s="1"/>
  <c r="W82" i="11" s="1"/>
  <c r="W83" i="11" s="1"/>
  <c r="W84" i="11" s="1"/>
  <c r="W85" i="11" s="1"/>
  <c r="W86" i="11" s="1"/>
  <c r="W87" i="11" s="1"/>
  <c r="W88" i="11" s="1"/>
  <c r="W89" i="11" s="1"/>
  <c r="W90" i="11" s="1"/>
  <c r="W91" i="11" s="1"/>
  <c r="W92" i="11" s="1"/>
  <c r="W93" i="11" s="1"/>
  <c r="W94" i="11" s="1"/>
  <c r="W95" i="11" s="1"/>
  <c r="W96" i="11" s="1"/>
  <c r="W97" i="11" s="1"/>
  <c r="W98" i="11" s="1"/>
  <c r="W99" i="11" s="1"/>
  <c r="W100" i="11" s="1"/>
  <c r="W101" i="11" s="1"/>
  <c r="W102" i="11" s="1"/>
  <c r="W103" i="11" s="1"/>
  <c r="W104" i="11" s="1"/>
  <c r="W105" i="11" s="1"/>
  <c r="W106" i="11" s="1"/>
  <c r="W107" i="11" s="1"/>
  <c r="W108" i="11" s="1"/>
  <c r="W109" i="11" s="1"/>
  <c r="W110" i="11" s="1"/>
  <c r="W111" i="11" s="1"/>
  <c r="W112" i="11" s="1"/>
  <c r="W113" i="11" s="1"/>
  <c r="W114" i="11" s="1"/>
  <c r="W115" i="11" s="1"/>
  <c r="W116" i="11" s="1"/>
  <c r="AC130" i="11"/>
  <c r="AC131" i="11" s="1"/>
  <c r="AC132" i="11" s="1"/>
  <c r="AC133" i="11" s="1"/>
  <c r="AC134" i="11" s="1"/>
  <c r="AC135" i="11" s="1"/>
  <c r="AC136" i="11" s="1"/>
  <c r="AC137" i="11" s="1"/>
  <c r="AC138" i="11" s="1"/>
  <c r="AC139" i="11" s="1"/>
  <c r="AC140" i="11" s="1"/>
  <c r="AC141" i="11" s="1"/>
  <c r="AC142" i="11" s="1"/>
  <c r="AC143" i="11" s="1"/>
  <c r="AC144" i="11" s="1"/>
  <c r="AC145" i="11" s="1"/>
  <c r="AC146" i="11" s="1"/>
  <c r="AC147" i="11" s="1"/>
  <c r="AC148" i="11" s="1"/>
  <c r="AC149" i="11" s="1"/>
  <c r="AC150" i="11" s="1"/>
  <c r="AC151" i="11" s="1"/>
  <c r="AC152" i="11" s="1"/>
  <c r="AC153" i="11" s="1"/>
  <c r="AC154" i="11" s="1"/>
  <c r="AC155" i="11" s="1"/>
  <c r="AC156" i="11" s="1"/>
  <c r="AC157" i="11" s="1"/>
  <c r="AC158" i="11" s="1"/>
  <c r="AC159" i="11" s="1"/>
  <c r="AC160" i="11" s="1"/>
  <c r="AC161" i="11" s="1"/>
  <c r="AC162" i="11" s="1"/>
  <c r="AC163" i="11" s="1"/>
  <c r="AC164" i="11" s="1"/>
  <c r="AC165" i="11" s="1"/>
  <c r="AC166" i="11" s="1"/>
  <c r="AC167" i="11" s="1"/>
  <c r="AC168" i="11" s="1"/>
  <c r="AC169" i="11" s="1"/>
  <c r="AC170" i="11" s="1"/>
  <c r="AC171" i="11" s="1"/>
  <c r="AC172" i="11" s="1"/>
  <c r="AC173" i="11" s="1"/>
  <c r="AC174" i="11" s="1"/>
  <c r="AC175" i="11" s="1"/>
  <c r="AC176" i="11" s="1"/>
  <c r="AC177" i="11" s="1"/>
  <c r="AC178" i="11" s="1"/>
  <c r="AC179" i="11" s="1"/>
  <c r="AC180" i="11" s="1"/>
  <c r="AC181" i="11" s="1"/>
  <c r="AC182" i="11" s="1"/>
  <c r="AC183" i="11" s="1"/>
  <c r="AC184" i="11" s="1"/>
  <c r="AC185" i="11" s="1"/>
  <c r="AC186" i="11" s="1"/>
  <c r="AC187" i="11" s="1"/>
  <c r="AC188" i="11" s="1"/>
  <c r="AI272" i="11"/>
  <c r="AI273" i="11" s="1"/>
  <c r="AI274" i="11" s="1"/>
  <c r="AI275" i="11" s="1"/>
  <c r="AI276" i="11" s="1"/>
  <c r="AI277" i="11" s="1"/>
  <c r="AI278" i="11" s="1"/>
  <c r="AI279" i="11" s="1"/>
  <c r="AI280" i="11" s="1"/>
  <c r="AI281" i="11" s="1"/>
  <c r="AI282" i="11" s="1"/>
  <c r="AI283" i="11" s="1"/>
  <c r="AI284" i="11" s="1"/>
  <c r="AI285" i="11" s="1"/>
  <c r="AI286" i="11" s="1"/>
  <c r="AI287" i="11" s="1"/>
  <c r="AI288" i="11" s="1"/>
  <c r="AI289" i="11" s="1"/>
  <c r="AI290" i="11" s="1"/>
  <c r="AI291" i="11" s="1"/>
  <c r="AI292" i="11" s="1"/>
  <c r="AI293" i="11" s="1"/>
  <c r="AI294" i="11" s="1"/>
  <c r="AI295" i="11" s="1"/>
  <c r="AI296" i="11" s="1"/>
  <c r="AI297" i="11" s="1"/>
  <c r="AI298" i="11" s="1"/>
  <c r="AI299" i="11" s="1"/>
  <c r="AI300" i="11" s="1"/>
  <c r="AI301" i="11" s="1"/>
  <c r="AI302" i="11" s="1"/>
  <c r="AI303" i="11" s="1"/>
  <c r="AI304" i="11" s="1"/>
  <c r="AI305" i="11" s="1"/>
  <c r="AI306" i="11" s="1"/>
  <c r="AI307" i="11" s="1"/>
  <c r="AI308" i="11" s="1"/>
  <c r="AI309" i="11" s="1"/>
  <c r="AI310" i="11" s="1"/>
  <c r="AI311" i="11" s="1"/>
  <c r="AI312" i="11" s="1"/>
  <c r="AI313" i="11" s="1"/>
  <c r="AI314" i="11" s="1"/>
  <c r="AI315" i="11" s="1"/>
  <c r="AI316" i="11" s="1"/>
  <c r="AI317" i="11" s="1"/>
  <c r="AI318" i="11" s="1"/>
  <c r="AI319" i="11" s="1"/>
  <c r="AI320" i="11" s="1"/>
  <c r="AI321" i="11" s="1"/>
  <c r="AI322" i="11" s="1"/>
  <c r="AI323" i="11" s="1"/>
  <c r="AI324" i="11" s="1"/>
  <c r="AI325" i="11" s="1"/>
  <c r="AI326" i="11" s="1"/>
  <c r="AI327" i="11" s="1"/>
  <c r="AI328" i="11" s="1"/>
  <c r="AI329" i="11" s="1"/>
  <c r="AI330" i="11" s="1"/>
  <c r="E276" i="11"/>
  <c r="E308" i="11"/>
  <c r="E325" i="11"/>
  <c r="E304" i="11"/>
  <c r="E273" i="11"/>
  <c r="E315" i="11"/>
  <c r="E150" i="11"/>
  <c r="C345" i="11"/>
  <c r="E246" i="11"/>
  <c r="I23" i="12"/>
  <c r="C363" i="11"/>
  <c r="C385" i="11"/>
  <c r="I27" i="12"/>
  <c r="E177" i="11"/>
  <c r="C383" i="11"/>
  <c r="C372" i="11"/>
  <c r="E228" i="11"/>
  <c r="E286" i="11"/>
  <c r="C362" i="11"/>
  <c r="C374" i="11"/>
  <c r="I54" i="12"/>
  <c r="E238" i="11"/>
  <c r="E298" i="11"/>
  <c r="E323" i="11"/>
  <c r="E329" i="11"/>
  <c r="E328" i="11"/>
  <c r="E320" i="11"/>
  <c r="E287" i="11"/>
  <c r="E281" i="11"/>
  <c r="E319" i="11"/>
  <c r="E299" i="11"/>
  <c r="E311" i="11"/>
  <c r="E326" i="11"/>
  <c r="E295" i="11"/>
  <c r="E324" i="11"/>
  <c r="E278" i="11"/>
  <c r="E291" i="11"/>
  <c r="E302" i="11"/>
  <c r="E322" i="11"/>
  <c r="E321" i="11"/>
  <c r="E305" i="11"/>
  <c r="E284" i="11"/>
  <c r="E297" i="11"/>
  <c r="I36" i="12"/>
  <c r="I37" i="12"/>
  <c r="C376" i="11"/>
  <c r="I66" i="12"/>
  <c r="C347" i="11"/>
  <c r="I34" i="12"/>
  <c r="I40" i="12"/>
  <c r="I39" i="12"/>
  <c r="I45" i="12"/>
  <c r="I29" i="12"/>
  <c r="C366" i="11"/>
  <c r="C380" i="11"/>
  <c r="I55" i="12"/>
  <c r="C341" i="11"/>
  <c r="I62" i="12"/>
  <c r="I64" i="12"/>
  <c r="C393" i="11"/>
  <c r="C382" i="11"/>
  <c r="C343" i="11"/>
  <c r="C387" i="11"/>
  <c r="I52" i="12"/>
  <c r="C357" i="11"/>
  <c r="C361" i="11"/>
  <c r="C335" i="11"/>
  <c r="C337" i="11"/>
  <c r="I21" i="12"/>
  <c r="I31" i="12"/>
  <c r="I73" i="12"/>
  <c r="I71" i="12"/>
  <c r="I75" i="12"/>
  <c r="C371" i="11"/>
  <c r="I76" i="12"/>
  <c r="I38" i="12"/>
  <c r="C340" i="11"/>
  <c r="I63" i="12"/>
  <c r="I44" i="12"/>
  <c r="I50" i="12"/>
  <c r="AO201" i="11"/>
  <c r="E205" i="11"/>
  <c r="E173" i="11"/>
  <c r="E251" i="11"/>
  <c r="E162" i="11"/>
  <c r="E137" i="11"/>
  <c r="E160" i="11"/>
  <c r="E327" i="11"/>
  <c r="E309" i="11"/>
  <c r="E296" i="11"/>
  <c r="E306" i="11"/>
  <c r="E317" i="11"/>
  <c r="E290" i="11"/>
  <c r="E314" i="11"/>
  <c r="E289" i="11"/>
  <c r="E271" i="11"/>
  <c r="F271" i="11" s="1"/>
  <c r="E288" i="11"/>
  <c r="E283" i="11"/>
  <c r="E293" i="11"/>
  <c r="E300" i="11"/>
  <c r="E330" i="11"/>
  <c r="E285" i="11"/>
  <c r="E307" i="11"/>
  <c r="E303" i="11"/>
  <c r="E312" i="11"/>
  <c r="E279" i="11"/>
  <c r="E277" i="11"/>
  <c r="E274" i="11"/>
  <c r="E272" i="11"/>
  <c r="E235" i="11"/>
  <c r="E176" i="11"/>
  <c r="E185" i="11"/>
  <c r="E148" i="11"/>
  <c r="E313" i="11"/>
  <c r="E292" i="11"/>
  <c r="E318" i="11"/>
  <c r="E282" i="11"/>
  <c r="E310" i="11"/>
  <c r="E301" i="11"/>
  <c r="E249" i="11"/>
  <c r="E213" i="11"/>
  <c r="E149" i="11"/>
  <c r="E187" i="11"/>
  <c r="E252" i="11"/>
  <c r="E227" i="11"/>
  <c r="E171" i="11"/>
  <c r="E294" i="11"/>
  <c r="E146" i="11"/>
  <c r="E240" i="11"/>
  <c r="E143" i="11"/>
  <c r="E258" i="11"/>
  <c r="E188" i="11"/>
  <c r="E145" i="11"/>
  <c r="E229" i="11"/>
  <c r="E183" i="11"/>
  <c r="E222" i="11"/>
  <c r="E211" i="11"/>
  <c r="E178" i="11"/>
  <c r="E186" i="11"/>
  <c r="E136" i="11"/>
  <c r="E138" i="11"/>
  <c r="E204" i="11"/>
  <c r="E170" i="11"/>
  <c r="E180" i="11"/>
  <c r="E206" i="11"/>
  <c r="E172" i="11"/>
  <c r="E245" i="11"/>
  <c r="E239" i="11"/>
  <c r="E144" i="11"/>
  <c r="E141" i="11"/>
  <c r="E257" i="11"/>
  <c r="E134" i="11"/>
  <c r="E254" i="11"/>
  <c r="E215" i="11"/>
  <c r="E154" i="11"/>
  <c r="E220" i="11"/>
  <c r="E233" i="11"/>
  <c r="E140" i="11"/>
  <c r="E158" i="11"/>
  <c r="E214" i="11"/>
  <c r="E219" i="11"/>
  <c r="E217" i="11"/>
  <c r="E182" i="11"/>
  <c r="E129" i="11"/>
  <c r="F129" i="11" s="1"/>
  <c r="E210" i="11"/>
  <c r="E161" i="11"/>
  <c r="E147" i="11"/>
  <c r="E212" i="11"/>
  <c r="E250" i="11"/>
  <c r="E234" i="11"/>
  <c r="E207" i="11"/>
  <c r="E202" i="11"/>
  <c r="E248" i="11"/>
  <c r="E255" i="11"/>
  <c r="E253" i="11"/>
  <c r="E208" i="11"/>
  <c r="E218" i="11"/>
  <c r="E157" i="11"/>
  <c r="E175" i="11"/>
  <c r="E201" i="11"/>
  <c r="E184" i="11"/>
  <c r="E259" i="11"/>
  <c r="E230" i="11"/>
  <c r="E226" i="11"/>
  <c r="E242" i="11"/>
  <c r="E200" i="11"/>
  <c r="F200" i="11" s="1"/>
  <c r="E224" i="11"/>
  <c r="E139" i="11"/>
  <c r="E135" i="11"/>
  <c r="E165" i="11"/>
  <c r="E256" i="11"/>
  <c r="E153" i="11"/>
  <c r="E163" i="11"/>
  <c r="E156" i="11"/>
  <c r="C389" i="11"/>
  <c r="I60" i="12"/>
  <c r="I35" i="12"/>
  <c r="C358" i="11"/>
  <c r="C348" i="11"/>
  <c r="C356" i="11"/>
  <c r="I49" i="12"/>
  <c r="C392" i="11"/>
  <c r="C368" i="11"/>
  <c r="C384" i="11"/>
  <c r="I58" i="12"/>
  <c r="I24" i="12"/>
  <c r="E169" i="11"/>
  <c r="E132" i="11"/>
  <c r="E236" i="11"/>
  <c r="E231" i="11"/>
  <c r="E151" i="11"/>
  <c r="E209" i="11"/>
  <c r="E216" i="11"/>
  <c r="E247" i="11"/>
  <c r="E232" i="11"/>
  <c r="E168" i="11"/>
  <c r="E164" i="11"/>
  <c r="E237" i="11"/>
  <c r="E179" i="11"/>
  <c r="E174" i="11"/>
  <c r="E155" i="11"/>
  <c r="E221" i="11"/>
  <c r="E167" i="11"/>
  <c r="E225" i="11"/>
  <c r="E223" i="11"/>
  <c r="E241" i="11"/>
  <c r="E159" i="11"/>
  <c r="E130" i="11"/>
  <c r="F130" i="11" s="1"/>
  <c r="E142" i="11"/>
  <c r="E152" i="11"/>
  <c r="E203" i="11"/>
  <c r="E181" i="11"/>
  <c r="E131" i="11"/>
  <c r="E166" i="11"/>
  <c r="E243" i="11"/>
  <c r="E244" i="11"/>
  <c r="AO202" i="11"/>
  <c r="AO203" i="11" s="1"/>
  <c r="AO204" i="11" s="1"/>
  <c r="AO205" i="11" s="1"/>
  <c r="AO206" i="11" s="1"/>
  <c r="AO207" i="11" s="1"/>
  <c r="AO208" i="11" s="1"/>
  <c r="AO209" i="11" s="1"/>
  <c r="AO210" i="11" s="1"/>
  <c r="AO211" i="11" s="1"/>
  <c r="AO212" i="11" s="1"/>
  <c r="AO213" i="11" s="1"/>
  <c r="AO214" i="11" s="1"/>
  <c r="AO215" i="11" s="1"/>
  <c r="AO216" i="11" s="1"/>
  <c r="AO217" i="11" s="1"/>
  <c r="AO218" i="11" s="1"/>
  <c r="AO219" i="11" s="1"/>
  <c r="AO220" i="11" s="1"/>
  <c r="AO221" i="11" s="1"/>
  <c r="AO222" i="11" s="1"/>
  <c r="AO223" i="11" s="1"/>
  <c r="AO224" i="11" s="1"/>
  <c r="AO225" i="11" s="1"/>
  <c r="AO226" i="11" s="1"/>
  <c r="AO227" i="11" s="1"/>
  <c r="AO228" i="11" s="1"/>
  <c r="AO229" i="11" s="1"/>
  <c r="AO230" i="11" s="1"/>
  <c r="AO231" i="11" s="1"/>
  <c r="AO232" i="11" s="1"/>
  <c r="AO233" i="11" s="1"/>
  <c r="AO234" i="11" s="1"/>
  <c r="AO235" i="11" s="1"/>
  <c r="AO236" i="11" s="1"/>
  <c r="AO237" i="11" s="1"/>
  <c r="AO238" i="11" s="1"/>
  <c r="AO239" i="11" s="1"/>
  <c r="AO240" i="11" s="1"/>
  <c r="AO241" i="11" s="1"/>
  <c r="AO242" i="11" s="1"/>
  <c r="AO243" i="11" s="1"/>
  <c r="AO244" i="11" s="1"/>
  <c r="AO245" i="11" s="1"/>
  <c r="AO246" i="11" s="1"/>
  <c r="AO247" i="11" s="1"/>
  <c r="AO248" i="11" s="1"/>
  <c r="AO249" i="11" s="1"/>
  <c r="AO250" i="11" s="1"/>
  <c r="AO251" i="11" s="1"/>
  <c r="AO252" i="11" s="1"/>
  <c r="AO253" i="11" s="1"/>
  <c r="AO254" i="11" s="1"/>
  <c r="AO255" i="11" s="1"/>
  <c r="AO256" i="11" s="1"/>
  <c r="AO257" i="11" s="1"/>
  <c r="AO258" i="11" s="1"/>
  <c r="AO259" i="11" s="1"/>
  <c r="W274" i="11"/>
  <c r="W275" i="11" s="1"/>
  <c r="W276" i="11" s="1"/>
  <c r="W277" i="11" s="1"/>
  <c r="W278" i="11" s="1"/>
  <c r="W279" i="11" s="1"/>
  <c r="W280" i="11" s="1"/>
  <c r="W281" i="11" s="1"/>
  <c r="W282" i="11" s="1"/>
  <c r="W283" i="11" s="1"/>
  <c r="W284" i="11" s="1"/>
  <c r="W285" i="11" s="1"/>
  <c r="W286" i="11" s="1"/>
  <c r="W287" i="11" s="1"/>
  <c r="W288" i="11" s="1"/>
  <c r="W289" i="11" s="1"/>
  <c r="W290" i="11" s="1"/>
  <c r="W291" i="11" s="1"/>
  <c r="W292" i="11" s="1"/>
  <c r="W293" i="11" s="1"/>
  <c r="W294" i="11" s="1"/>
  <c r="W295" i="11" s="1"/>
  <c r="W296" i="11" s="1"/>
  <c r="W297" i="11" s="1"/>
  <c r="W298" i="11" s="1"/>
  <c r="W299" i="11" s="1"/>
  <c r="W300" i="11" s="1"/>
  <c r="W301" i="11" s="1"/>
  <c r="W302" i="11" s="1"/>
  <c r="W303" i="11" s="1"/>
  <c r="W304" i="11" s="1"/>
  <c r="W305" i="11" s="1"/>
  <c r="W306" i="11" s="1"/>
  <c r="W307" i="11" s="1"/>
  <c r="W308" i="11" s="1"/>
  <c r="W309" i="11" s="1"/>
  <c r="W310" i="11" s="1"/>
  <c r="W311" i="11" s="1"/>
  <c r="W312" i="11" s="1"/>
  <c r="W313" i="11" s="1"/>
  <c r="W314" i="11" s="1"/>
  <c r="W315" i="11" s="1"/>
  <c r="W316" i="11" s="1"/>
  <c r="W317" i="11" s="1"/>
  <c r="W318" i="11" s="1"/>
  <c r="W319" i="11" s="1"/>
  <c r="W320" i="11" s="1"/>
  <c r="W321" i="11" s="1"/>
  <c r="W322" i="11" s="1"/>
  <c r="W323" i="11" s="1"/>
  <c r="W324" i="11" s="1"/>
  <c r="W325" i="11" s="1"/>
  <c r="W326" i="11" s="1"/>
  <c r="W327" i="11" s="1"/>
  <c r="W328" i="11" s="1"/>
  <c r="W329" i="11" s="1"/>
  <c r="W330" i="11" s="1"/>
  <c r="W201" i="11"/>
  <c r="W202" i="11" s="1"/>
  <c r="W203" i="11" s="1"/>
  <c r="W204" i="11" s="1"/>
  <c r="W205" i="11" s="1"/>
  <c r="W206" i="11" s="1"/>
  <c r="W207" i="11" s="1"/>
  <c r="W208" i="11" s="1"/>
  <c r="W209" i="11" s="1"/>
  <c r="W210" i="11" s="1"/>
  <c r="W211" i="11" s="1"/>
  <c r="W212" i="11" s="1"/>
  <c r="W213" i="11" s="1"/>
  <c r="W214" i="11" s="1"/>
  <c r="W215" i="11" s="1"/>
  <c r="W216" i="11" s="1"/>
  <c r="W217" i="11" s="1"/>
  <c r="W218" i="11" s="1"/>
  <c r="W219" i="11" s="1"/>
  <c r="W220" i="11" s="1"/>
  <c r="W221" i="11" s="1"/>
  <c r="W222" i="11" s="1"/>
  <c r="W223" i="11" s="1"/>
  <c r="W224" i="11" s="1"/>
  <c r="W225" i="11" s="1"/>
  <c r="W226" i="11" s="1"/>
  <c r="W227" i="11" s="1"/>
  <c r="W228" i="11" s="1"/>
  <c r="W229" i="11" s="1"/>
  <c r="W230" i="11" s="1"/>
  <c r="W231" i="11" s="1"/>
  <c r="W232" i="11" s="1"/>
  <c r="W233" i="11" s="1"/>
  <c r="W234" i="11" s="1"/>
  <c r="W235" i="11" s="1"/>
  <c r="W236" i="11" s="1"/>
  <c r="W237" i="11" s="1"/>
  <c r="W238" i="11" s="1"/>
  <c r="W239" i="11" s="1"/>
  <c r="W240" i="11" s="1"/>
  <c r="W241" i="11" s="1"/>
  <c r="W242" i="11" s="1"/>
  <c r="W243" i="11" s="1"/>
  <c r="W244" i="11" s="1"/>
  <c r="W245" i="11" s="1"/>
  <c r="W246" i="11" s="1"/>
  <c r="W247" i="11" s="1"/>
  <c r="W248" i="11" s="1"/>
  <c r="W249" i="11" s="1"/>
  <c r="W250" i="11" s="1"/>
  <c r="W251" i="11" s="1"/>
  <c r="W252" i="11" s="1"/>
  <c r="W253" i="11" s="1"/>
  <c r="W254" i="11" s="1"/>
  <c r="W255" i="11" s="1"/>
  <c r="W256" i="11" s="1"/>
  <c r="W257" i="11" s="1"/>
  <c r="W258" i="11" s="1"/>
  <c r="W259" i="11" s="1"/>
  <c r="AU58" i="11"/>
  <c r="AU59" i="11" s="1"/>
  <c r="AU60" i="11" s="1"/>
  <c r="AU61" i="11" s="1"/>
  <c r="AU62" i="11" s="1"/>
  <c r="AU63" i="11" s="1"/>
  <c r="AU64" i="11" s="1"/>
  <c r="AU65" i="11" s="1"/>
  <c r="AU66" i="11" s="1"/>
  <c r="AU67" i="11" s="1"/>
  <c r="AU68" i="11" s="1"/>
  <c r="AU69" i="11" s="1"/>
  <c r="AU70" i="11" s="1"/>
  <c r="AU71" i="11" s="1"/>
  <c r="AU72" i="11" s="1"/>
  <c r="AU73" i="11" s="1"/>
  <c r="AU74" i="11" s="1"/>
  <c r="AU75" i="11" s="1"/>
  <c r="AU76" i="11" s="1"/>
  <c r="AU77" i="11" s="1"/>
  <c r="AU78" i="11" s="1"/>
  <c r="AU79" i="11" s="1"/>
  <c r="AU80" i="11" s="1"/>
  <c r="AU81" i="11" s="1"/>
  <c r="AU82" i="11" s="1"/>
  <c r="AU83" i="11" s="1"/>
  <c r="AU84" i="11" s="1"/>
  <c r="AU85" i="11" s="1"/>
  <c r="AU86" i="11" s="1"/>
  <c r="AU87" i="11" s="1"/>
  <c r="AU88" i="11" s="1"/>
  <c r="AU89" i="11" s="1"/>
  <c r="AU90" i="11" s="1"/>
  <c r="AU91" i="11" s="1"/>
  <c r="AU92" i="11" s="1"/>
  <c r="AU93" i="11" s="1"/>
  <c r="AU94" i="11" s="1"/>
  <c r="AU95" i="11" s="1"/>
  <c r="AU96" i="11" s="1"/>
  <c r="AU97" i="11" s="1"/>
  <c r="AU98" i="11" s="1"/>
  <c r="AU99" i="11" s="1"/>
  <c r="AU100" i="11" s="1"/>
  <c r="AU101" i="11" s="1"/>
  <c r="AU102" i="11" s="1"/>
  <c r="AU103" i="11" s="1"/>
  <c r="AU104" i="11" s="1"/>
  <c r="AU105" i="11" s="1"/>
  <c r="AU106" i="11" s="1"/>
  <c r="AU107" i="11" s="1"/>
  <c r="AU108" i="11" s="1"/>
  <c r="AU109" i="11" s="1"/>
  <c r="AU110" i="11" s="1"/>
  <c r="AU111" i="11" s="1"/>
  <c r="AU112" i="11" s="1"/>
  <c r="AU113" i="11" s="1"/>
  <c r="AU114" i="11" s="1"/>
  <c r="AU115" i="11" s="1"/>
  <c r="AU116" i="11" s="1"/>
  <c r="AU130" i="11"/>
  <c r="AU131" i="11" s="1"/>
  <c r="AU132" i="11" s="1"/>
  <c r="AU133" i="11" s="1"/>
  <c r="AU134" i="11" s="1"/>
  <c r="AU135" i="11" s="1"/>
  <c r="AU136" i="11" s="1"/>
  <c r="AU137" i="11" s="1"/>
  <c r="AU138" i="11" s="1"/>
  <c r="AU139" i="11" s="1"/>
  <c r="AU140" i="11" s="1"/>
  <c r="AU141" i="11" s="1"/>
  <c r="AU142" i="11" s="1"/>
  <c r="AU143" i="11" s="1"/>
  <c r="AU144" i="11" s="1"/>
  <c r="AU145" i="11" s="1"/>
  <c r="AU146" i="11" s="1"/>
  <c r="AU147" i="11" s="1"/>
  <c r="AU148" i="11" s="1"/>
  <c r="AU149" i="11" s="1"/>
  <c r="AU150" i="11" s="1"/>
  <c r="AU151" i="11" s="1"/>
  <c r="AU152" i="11" s="1"/>
  <c r="AU153" i="11" s="1"/>
  <c r="AU154" i="11" s="1"/>
  <c r="AU155" i="11" s="1"/>
  <c r="AU156" i="11" s="1"/>
  <c r="AU157" i="11" s="1"/>
  <c r="AU158" i="11" s="1"/>
  <c r="AU159" i="11" s="1"/>
  <c r="AU160" i="11" s="1"/>
  <c r="AU161" i="11" s="1"/>
  <c r="AU162" i="11" s="1"/>
  <c r="AU163" i="11" s="1"/>
  <c r="AU164" i="11" s="1"/>
  <c r="AU165" i="11" s="1"/>
  <c r="AU166" i="11" s="1"/>
  <c r="AU167" i="11" s="1"/>
  <c r="AU168" i="11" s="1"/>
  <c r="AU169" i="11" s="1"/>
  <c r="AU170" i="11" s="1"/>
  <c r="AU171" i="11" s="1"/>
  <c r="AU172" i="11" s="1"/>
  <c r="AU173" i="11" s="1"/>
  <c r="AU174" i="11" s="1"/>
  <c r="AU175" i="11" s="1"/>
  <c r="AU176" i="11" s="1"/>
  <c r="AU177" i="11" s="1"/>
  <c r="AU178" i="11" s="1"/>
  <c r="AU179" i="11" s="1"/>
  <c r="AU180" i="11" s="1"/>
  <c r="AU181" i="11" s="1"/>
  <c r="AU182" i="11" s="1"/>
  <c r="AU183" i="11" s="1"/>
  <c r="AU184" i="11" s="1"/>
  <c r="AU185" i="11" s="1"/>
  <c r="AU186" i="11" s="1"/>
  <c r="AU187" i="11" s="1"/>
  <c r="AU188" i="11" s="1"/>
  <c r="AO130" i="11"/>
  <c r="AO131" i="11" s="1"/>
  <c r="AO132" i="11" s="1"/>
  <c r="AO133" i="11" s="1"/>
  <c r="AO134" i="11" s="1"/>
  <c r="AO135" i="11" s="1"/>
  <c r="AO136" i="11" s="1"/>
  <c r="AO137" i="11" s="1"/>
  <c r="AO138" i="11" s="1"/>
  <c r="AO139" i="11" s="1"/>
  <c r="AO140" i="11" s="1"/>
  <c r="AO141" i="11" s="1"/>
  <c r="AO142" i="11" s="1"/>
  <c r="AO143" i="11" s="1"/>
  <c r="AO144" i="11" s="1"/>
  <c r="AO145" i="11" s="1"/>
  <c r="AO146" i="11" s="1"/>
  <c r="AO147" i="11" s="1"/>
  <c r="AO148" i="11" s="1"/>
  <c r="AO149" i="11" s="1"/>
  <c r="AO150" i="11" s="1"/>
  <c r="AO151" i="11" s="1"/>
  <c r="AO152" i="11" s="1"/>
  <c r="AO153" i="11" s="1"/>
  <c r="AO154" i="11" s="1"/>
  <c r="AO155" i="11" s="1"/>
  <c r="AO156" i="11" s="1"/>
  <c r="AO157" i="11" s="1"/>
  <c r="AO158" i="11" s="1"/>
  <c r="AO159" i="11" s="1"/>
  <c r="AO160" i="11" s="1"/>
  <c r="AO161" i="11" s="1"/>
  <c r="AO162" i="11" s="1"/>
  <c r="AO163" i="11" s="1"/>
  <c r="AO164" i="11" s="1"/>
  <c r="AO165" i="11" s="1"/>
  <c r="AO166" i="11" s="1"/>
  <c r="AO167" i="11" s="1"/>
  <c r="AO168" i="11" s="1"/>
  <c r="AO169" i="11" s="1"/>
  <c r="AO170" i="11" s="1"/>
  <c r="AO171" i="11" s="1"/>
  <c r="AO172" i="11" s="1"/>
  <c r="AO173" i="11" s="1"/>
  <c r="AO174" i="11" s="1"/>
  <c r="AO175" i="11" s="1"/>
  <c r="AO176" i="11" s="1"/>
  <c r="AO177" i="11" s="1"/>
  <c r="AO178" i="11" s="1"/>
  <c r="AO179" i="11" s="1"/>
  <c r="AO180" i="11" s="1"/>
  <c r="AO181" i="11" s="1"/>
  <c r="AO182" i="11" s="1"/>
  <c r="AO183" i="11" s="1"/>
  <c r="AO184" i="11" s="1"/>
  <c r="AO185" i="11" s="1"/>
  <c r="AO186" i="11" s="1"/>
  <c r="AO187" i="11" s="1"/>
  <c r="AO188" i="11" s="1"/>
  <c r="AC272" i="11"/>
  <c r="AC273" i="11" s="1"/>
  <c r="AC274" i="11" s="1"/>
  <c r="AC275" i="11" s="1"/>
  <c r="AC276" i="11" s="1"/>
  <c r="AC277" i="11" s="1"/>
  <c r="AC278" i="11" s="1"/>
  <c r="AC279" i="11" s="1"/>
  <c r="AC280" i="11" s="1"/>
  <c r="AC281" i="11" s="1"/>
  <c r="AC282" i="11" s="1"/>
  <c r="AC283" i="11" s="1"/>
  <c r="AC284" i="11" s="1"/>
  <c r="AC285" i="11" s="1"/>
  <c r="AC286" i="11" s="1"/>
  <c r="AC287" i="11" s="1"/>
  <c r="AC288" i="11" s="1"/>
  <c r="AC289" i="11" s="1"/>
  <c r="AC290" i="11" s="1"/>
  <c r="AC291" i="11" s="1"/>
  <c r="AC292" i="11" s="1"/>
  <c r="AC293" i="11" s="1"/>
  <c r="AC294" i="11" s="1"/>
  <c r="AC295" i="11" s="1"/>
  <c r="AC296" i="11" s="1"/>
  <c r="AC297" i="11" s="1"/>
  <c r="AC298" i="11" s="1"/>
  <c r="AC299" i="11" s="1"/>
  <c r="AC300" i="11" s="1"/>
  <c r="AC301" i="11" s="1"/>
  <c r="AC302" i="11" s="1"/>
  <c r="AC303" i="11" s="1"/>
  <c r="AC304" i="11" s="1"/>
  <c r="AC305" i="11" s="1"/>
  <c r="AC306" i="11" s="1"/>
  <c r="AC307" i="11" s="1"/>
  <c r="AC308" i="11" s="1"/>
  <c r="AC309" i="11" s="1"/>
  <c r="AC310" i="11" s="1"/>
  <c r="AC311" i="11" s="1"/>
  <c r="AC312" i="11" s="1"/>
  <c r="AC313" i="11" s="1"/>
  <c r="AC314" i="11" s="1"/>
  <c r="AC315" i="11" s="1"/>
  <c r="AC316" i="11" s="1"/>
  <c r="AC317" i="11" s="1"/>
  <c r="AC318" i="11" s="1"/>
  <c r="AC319" i="11" s="1"/>
  <c r="AC320" i="11" s="1"/>
  <c r="AC321" i="11" s="1"/>
  <c r="AC322" i="11" s="1"/>
  <c r="AC323" i="11" s="1"/>
  <c r="AC324" i="11" s="1"/>
  <c r="AC325" i="11" s="1"/>
  <c r="AC326" i="11" s="1"/>
  <c r="AC327" i="11" s="1"/>
  <c r="AC328" i="11" s="1"/>
  <c r="AC329" i="11" s="1"/>
  <c r="AC330" i="11" s="1"/>
  <c r="W130" i="11"/>
  <c r="W131" i="11" s="1"/>
  <c r="W132" i="11" s="1"/>
  <c r="W133" i="11" s="1"/>
  <c r="W134" i="11" s="1"/>
  <c r="W135" i="11" s="1"/>
  <c r="W136" i="11" s="1"/>
  <c r="W137" i="11" s="1"/>
  <c r="W138" i="11" s="1"/>
  <c r="W139" i="11" s="1"/>
  <c r="W140" i="11" s="1"/>
  <c r="W141" i="11" s="1"/>
  <c r="W142" i="11" s="1"/>
  <c r="W143" i="11" s="1"/>
  <c r="W144" i="11" s="1"/>
  <c r="W145" i="11" s="1"/>
  <c r="W146" i="11" s="1"/>
  <c r="W147" i="11" s="1"/>
  <c r="W148" i="11" s="1"/>
  <c r="W149" i="11" s="1"/>
  <c r="W150" i="11" s="1"/>
  <c r="W151" i="11" s="1"/>
  <c r="W152" i="11" s="1"/>
  <c r="W153" i="11" s="1"/>
  <c r="W154" i="11" s="1"/>
  <c r="W155" i="11" s="1"/>
  <c r="W156" i="11" s="1"/>
  <c r="W157" i="11" s="1"/>
  <c r="W158" i="11" s="1"/>
  <c r="W159" i="11" s="1"/>
  <c r="W160" i="11" s="1"/>
  <c r="W161" i="11" s="1"/>
  <c r="W162" i="11" s="1"/>
  <c r="W163" i="11" s="1"/>
  <c r="W164" i="11" s="1"/>
  <c r="W165" i="11" s="1"/>
  <c r="W166" i="11" s="1"/>
  <c r="W167" i="11" s="1"/>
  <c r="W168" i="11" s="1"/>
  <c r="W169" i="11" s="1"/>
  <c r="W170" i="11" s="1"/>
  <c r="W171" i="11" s="1"/>
  <c r="W172" i="11" s="1"/>
  <c r="W173" i="11" s="1"/>
  <c r="W174" i="11" s="1"/>
  <c r="W175" i="11" s="1"/>
  <c r="W176" i="11" s="1"/>
  <c r="W177" i="11" s="1"/>
  <c r="W178" i="11" s="1"/>
  <c r="W179" i="11" s="1"/>
  <c r="W180" i="11" s="1"/>
  <c r="W181" i="11" s="1"/>
  <c r="W182" i="11" s="1"/>
  <c r="W183" i="11" s="1"/>
  <c r="W184" i="11" s="1"/>
  <c r="W185" i="11" s="1"/>
  <c r="W186" i="11" s="1"/>
  <c r="W187" i="11" s="1"/>
  <c r="W188" i="11" s="1"/>
  <c r="P176" i="11"/>
  <c r="P253" i="11"/>
  <c r="P171" i="11"/>
  <c r="P177" i="11"/>
  <c r="P229" i="11"/>
  <c r="P161" i="11"/>
  <c r="P250" i="11"/>
  <c r="P130" i="11"/>
  <c r="P208" i="11"/>
  <c r="P200" i="11"/>
  <c r="Q200" i="11" s="1"/>
  <c r="P186" i="11"/>
  <c r="AU272" i="11"/>
  <c r="AU273" i="11" s="1"/>
  <c r="AU274" i="11" s="1"/>
  <c r="AU275" i="11" s="1"/>
  <c r="AU276" i="11" s="1"/>
  <c r="AU277" i="11" s="1"/>
  <c r="AU278" i="11" s="1"/>
  <c r="AU279" i="11" s="1"/>
  <c r="AU280" i="11" s="1"/>
  <c r="AU281" i="11" s="1"/>
  <c r="AU282" i="11" s="1"/>
  <c r="AU283" i="11" s="1"/>
  <c r="AU284" i="11" s="1"/>
  <c r="AU285" i="11" s="1"/>
  <c r="AU286" i="11" s="1"/>
  <c r="AU287" i="11" s="1"/>
  <c r="AU288" i="11" s="1"/>
  <c r="AU289" i="11" s="1"/>
  <c r="AU290" i="11" s="1"/>
  <c r="AU291" i="11" s="1"/>
  <c r="AU292" i="11" s="1"/>
  <c r="AU293" i="11" s="1"/>
  <c r="AU294" i="11" s="1"/>
  <c r="AU295" i="11" s="1"/>
  <c r="AU296" i="11" s="1"/>
  <c r="AU297" i="11" s="1"/>
  <c r="AU298" i="11" s="1"/>
  <c r="AU299" i="11" s="1"/>
  <c r="AU300" i="11" s="1"/>
  <c r="AU301" i="11" s="1"/>
  <c r="AU302" i="11" s="1"/>
  <c r="AU303" i="11" s="1"/>
  <c r="AU304" i="11" s="1"/>
  <c r="AU305" i="11" s="1"/>
  <c r="AU306" i="11" s="1"/>
  <c r="AU307" i="11" s="1"/>
  <c r="AU308" i="11" s="1"/>
  <c r="AU309" i="11" s="1"/>
  <c r="AU310" i="11" s="1"/>
  <c r="AU311" i="11" s="1"/>
  <c r="AU312" i="11" s="1"/>
  <c r="AU313" i="11" s="1"/>
  <c r="AU314" i="11" s="1"/>
  <c r="AU315" i="11" s="1"/>
  <c r="AU316" i="11" s="1"/>
  <c r="AU317" i="11" s="1"/>
  <c r="AU318" i="11" s="1"/>
  <c r="AU319" i="11" s="1"/>
  <c r="AU320" i="11" s="1"/>
  <c r="AU321" i="11" s="1"/>
  <c r="AU322" i="11" s="1"/>
  <c r="AU323" i="11" s="1"/>
  <c r="AU324" i="11" s="1"/>
  <c r="AU325" i="11" s="1"/>
  <c r="AU326" i="11" s="1"/>
  <c r="AU327" i="11" s="1"/>
  <c r="AU328" i="11" s="1"/>
  <c r="AU329" i="11" s="1"/>
  <c r="AU330" i="11" s="1"/>
  <c r="AO272" i="11"/>
  <c r="AO273" i="11" s="1"/>
  <c r="AO274" i="11" s="1"/>
  <c r="AO275" i="11" s="1"/>
  <c r="AO276" i="11" s="1"/>
  <c r="AO277" i="11" s="1"/>
  <c r="AO278" i="11" s="1"/>
  <c r="AO279" i="11" s="1"/>
  <c r="AO280" i="11" s="1"/>
  <c r="AO281" i="11" s="1"/>
  <c r="AO282" i="11" s="1"/>
  <c r="AO283" i="11" s="1"/>
  <c r="AO284" i="11" s="1"/>
  <c r="AO285" i="11" s="1"/>
  <c r="AO286" i="11" s="1"/>
  <c r="AO287" i="11" s="1"/>
  <c r="AO288" i="11" s="1"/>
  <c r="AO289" i="11" s="1"/>
  <c r="AO290" i="11" s="1"/>
  <c r="AO291" i="11" s="1"/>
  <c r="AO292" i="11" s="1"/>
  <c r="AO293" i="11" s="1"/>
  <c r="AO294" i="11" s="1"/>
  <c r="AO295" i="11" s="1"/>
  <c r="AO296" i="11" s="1"/>
  <c r="AO297" i="11" s="1"/>
  <c r="AO298" i="11" s="1"/>
  <c r="AO299" i="11" s="1"/>
  <c r="AO300" i="11" s="1"/>
  <c r="AO301" i="11" s="1"/>
  <c r="AO302" i="11" s="1"/>
  <c r="AO303" i="11" s="1"/>
  <c r="AO304" i="11" s="1"/>
  <c r="AO305" i="11" s="1"/>
  <c r="AO306" i="11" s="1"/>
  <c r="AO307" i="11" s="1"/>
  <c r="AO308" i="11" s="1"/>
  <c r="AO309" i="11" s="1"/>
  <c r="AO310" i="11" s="1"/>
  <c r="AO311" i="11" s="1"/>
  <c r="AO312" i="11" s="1"/>
  <c r="AO313" i="11" s="1"/>
  <c r="AO314" i="11" s="1"/>
  <c r="AO315" i="11" s="1"/>
  <c r="AO316" i="11" s="1"/>
  <c r="AO317" i="11" s="1"/>
  <c r="AO318" i="11" s="1"/>
  <c r="AO319" i="11" s="1"/>
  <c r="AO320" i="11" s="1"/>
  <c r="AO321" i="11" s="1"/>
  <c r="AO322" i="11" s="1"/>
  <c r="AO323" i="11" s="1"/>
  <c r="AO324" i="11" s="1"/>
  <c r="AO325" i="11" s="1"/>
  <c r="AO326" i="11" s="1"/>
  <c r="AO327" i="11" s="1"/>
  <c r="AO328" i="11" s="1"/>
  <c r="AO329" i="11" s="1"/>
  <c r="AO330" i="11" s="1"/>
  <c r="AI130" i="11"/>
  <c r="AI131" i="11" s="1"/>
  <c r="AI132" i="11" s="1"/>
  <c r="AI133" i="11" s="1"/>
  <c r="AI134" i="11" s="1"/>
  <c r="AI135" i="11" s="1"/>
  <c r="AI136" i="11" s="1"/>
  <c r="AI137" i="11" s="1"/>
  <c r="AI138" i="11" s="1"/>
  <c r="AI139" i="11" s="1"/>
  <c r="AI140" i="11" s="1"/>
  <c r="AI141" i="11" s="1"/>
  <c r="AI142" i="11" s="1"/>
  <c r="AI143" i="11" s="1"/>
  <c r="AI144" i="11" s="1"/>
  <c r="AI145" i="11" s="1"/>
  <c r="AI146" i="11" s="1"/>
  <c r="AI147" i="11" s="1"/>
  <c r="AI148" i="11" s="1"/>
  <c r="AI149" i="11" s="1"/>
  <c r="AI150" i="11" s="1"/>
  <c r="AI151" i="11" s="1"/>
  <c r="AI152" i="11" s="1"/>
  <c r="AI153" i="11" s="1"/>
  <c r="AI154" i="11" s="1"/>
  <c r="AI155" i="11" s="1"/>
  <c r="AI156" i="11" s="1"/>
  <c r="AI157" i="11" s="1"/>
  <c r="AI158" i="11" s="1"/>
  <c r="AI159" i="11" s="1"/>
  <c r="AI160" i="11" s="1"/>
  <c r="AI161" i="11" s="1"/>
  <c r="AI162" i="11" s="1"/>
  <c r="AI163" i="11" s="1"/>
  <c r="AI164" i="11" s="1"/>
  <c r="AI165" i="11" s="1"/>
  <c r="AI166" i="11" s="1"/>
  <c r="AI167" i="11" s="1"/>
  <c r="AI168" i="11" s="1"/>
  <c r="AI169" i="11" s="1"/>
  <c r="AI170" i="11" s="1"/>
  <c r="AI171" i="11" s="1"/>
  <c r="AI172" i="11" s="1"/>
  <c r="AI173" i="11" s="1"/>
  <c r="AI174" i="11" s="1"/>
  <c r="AI175" i="11" s="1"/>
  <c r="AI176" i="11" s="1"/>
  <c r="AI177" i="11" s="1"/>
  <c r="AI178" i="11" s="1"/>
  <c r="AI179" i="11" s="1"/>
  <c r="AI180" i="11" s="1"/>
  <c r="AI181" i="11" s="1"/>
  <c r="AI182" i="11" s="1"/>
  <c r="AI183" i="11" s="1"/>
  <c r="AI184" i="11" s="1"/>
  <c r="AI185" i="11" s="1"/>
  <c r="AI186" i="11" s="1"/>
  <c r="AI187" i="11" s="1"/>
  <c r="AI188" i="11" s="1"/>
  <c r="P277" i="11"/>
  <c r="P288" i="11"/>
  <c r="P238" i="11"/>
  <c r="P183" i="11"/>
  <c r="P209" i="11"/>
  <c r="P315" i="11"/>
  <c r="P150" i="11"/>
  <c r="P159" i="11"/>
  <c r="P319" i="11"/>
  <c r="P314" i="11"/>
  <c r="P327" i="11"/>
  <c r="P312" i="11"/>
  <c r="P284" i="11"/>
  <c r="P324" i="11"/>
  <c r="P291" i="11"/>
  <c r="P328" i="11"/>
  <c r="P316" i="11"/>
  <c r="P295" i="11"/>
  <c r="P309" i="11"/>
  <c r="P330" i="11"/>
  <c r="P307" i="11"/>
  <c r="P302" i="11"/>
  <c r="P306" i="11"/>
  <c r="P280" i="11"/>
  <c r="P293" i="11"/>
  <c r="P313" i="11"/>
  <c r="P296" i="11"/>
  <c r="P317" i="11"/>
  <c r="P273" i="11"/>
  <c r="P298" i="11"/>
  <c r="P289" i="11"/>
  <c r="P290" i="11"/>
  <c r="P294" i="11"/>
  <c r="P310" i="11"/>
  <c r="P297" i="11"/>
  <c r="P311" i="11"/>
  <c r="P300" i="11"/>
  <c r="P318" i="11"/>
  <c r="P323" i="11"/>
  <c r="P329" i="11"/>
  <c r="P326" i="11"/>
  <c r="P287" i="11"/>
  <c r="P271" i="11"/>
  <c r="Q271" i="11" s="1"/>
  <c r="P163" i="11"/>
  <c r="P181" i="11"/>
  <c r="P167" i="11"/>
  <c r="P227" i="11"/>
  <c r="P240" i="11"/>
  <c r="P147" i="11"/>
  <c r="P237" i="11"/>
  <c r="P165" i="11"/>
  <c r="P143" i="11"/>
  <c r="P211" i="11"/>
  <c r="P233" i="11"/>
  <c r="P188" i="11"/>
  <c r="P207" i="11"/>
  <c r="P153" i="11"/>
  <c r="P135" i="11"/>
  <c r="P174" i="11"/>
  <c r="P257" i="11"/>
  <c r="P236" i="11"/>
  <c r="P259" i="11"/>
  <c r="P212" i="11"/>
  <c r="P216" i="11"/>
  <c r="P220" i="11"/>
  <c r="P157" i="11"/>
  <c r="P131" i="11"/>
  <c r="P241" i="11"/>
  <c r="P234" i="11"/>
  <c r="P145" i="11"/>
  <c r="P149" i="11"/>
  <c r="P221" i="11"/>
  <c r="P231" i="11"/>
  <c r="P225" i="11"/>
  <c r="P184" i="11"/>
  <c r="P185" i="11"/>
  <c r="P210" i="11"/>
  <c r="P137" i="11"/>
  <c r="P228" i="11"/>
  <c r="P162" i="11"/>
  <c r="P179" i="11"/>
  <c r="P142" i="11"/>
  <c r="P214" i="11"/>
  <c r="P154" i="11"/>
  <c r="P251" i="11"/>
  <c r="P249" i="11"/>
  <c r="P255" i="11"/>
  <c r="P169" i="11"/>
  <c r="P239" i="11"/>
  <c r="P133" i="11"/>
  <c r="P172" i="11"/>
  <c r="P138" i="11"/>
  <c r="P146" i="11"/>
  <c r="P136" i="11"/>
  <c r="P223" i="11"/>
  <c r="P232" i="11"/>
  <c r="P248" i="11"/>
  <c r="P247" i="11"/>
  <c r="P203" i="11"/>
  <c r="P158" i="11"/>
  <c r="P245" i="11"/>
  <c r="P148" i="11"/>
  <c r="P132" i="11"/>
  <c r="P205" i="11"/>
  <c r="P222" i="11"/>
  <c r="P180" i="11"/>
  <c r="P218" i="11"/>
  <c r="P246" i="11"/>
  <c r="P173" i="11"/>
  <c r="P129" i="11"/>
  <c r="Q129" i="11" s="1"/>
  <c r="P254" i="11"/>
  <c r="P252" i="11"/>
  <c r="P134" i="11"/>
  <c r="P168" i="11"/>
  <c r="P226" i="11"/>
  <c r="P151" i="11"/>
  <c r="P152" i="11"/>
  <c r="P325" i="11"/>
  <c r="P178" i="11"/>
  <c r="P308" i="11"/>
  <c r="P286" i="11"/>
  <c r="P258" i="11"/>
  <c r="P202" i="11"/>
  <c r="P320" i="11"/>
  <c r="P144" i="11"/>
  <c r="P166" i="11"/>
  <c r="P215" i="11"/>
  <c r="P322" i="11"/>
  <c r="P244" i="11"/>
  <c r="Q57" i="11"/>
  <c r="P160" i="11"/>
  <c r="P182" i="11"/>
  <c r="P304" i="11"/>
  <c r="P170" i="11"/>
  <c r="P303" i="11"/>
  <c r="P274" i="11"/>
  <c r="P285" i="11"/>
  <c r="P141" i="11"/>
  <c r="P224" i="11"/>
  <c r="P156" i="11"/>
  <c r="P206" i="11"/>
  <c r="P204" i="11"/>
  <c r="P301" i="11"/>
  <c r="P321" i="11"/>
  <c r="P235" i="11"/>
  <c r="P275" i="11"/>
  <c r="P305" i="11"/>
  <c r="P140" i="11"/>
  <c r="P272" i="11"/>
  <c r="P256" i="11"/>
  <c r="P139" i="11"/>
  <c r="P292" i="11"/>
  <c r="P155" i="11"/>
  <c r="P282" i="11"/>
  <c r="P278" i="11"/>
  <c r="P283" i="11"/>
  <c r="P243" i="11"/>
  <c r="P279" i="11"/>
  <c r="P213" i="11"/>
  <c r="P201" i="11"/>
  <c r="P230" i="11"/>
  <c r="P219" i="11"/>
  <c r="P187" i="11"/>
  <c r="P175" i="11"/>
  <c r="P217" i="11"/>
  <c r="P276" i="11"/>
  <c r="P242" i="11"/>
  <c r="P281" i="11"/>
  <c r="AI201" i="11"/>
  <c r="AI202" i="11" s="1"/>
  <c r="AI203" i="11" s="1"/>
  <c r="AI204" i="11" s="1"/>
  <c r="AI205" i="11" s="1"/>
  <c r="AI206" i="11" s="1"/>
  <c r="AI207" i="11" s="1"/>
  <c r="AI208" i="11" s="1"/>
  <c r="AI209" i="11" s="1"/>
  <c r="AI210" i="11" s="1"/>
  <c r="AI211" i="11" s="1"/>
  <c r="AI212" i="11" s="1"/>
  <c r="AI213" i="11" s="1"/>
  <c r="AI214" i="11" s="1"/>
  <c r="AI215" i="11" s="1"/>
  <c r="AI216" i="11" s="1"/>
  <c r="AI217" i="11" s="1"/>
  <c r="AI218" i="11" s="1"/>
  <c r="AI219" i="11" s="1"/>
  <c r="AI220" i="11" s="1"/>
  <c r="AI221" i="11" s="1"/>
  <c r="AI222" i="11" s="1"/>
  <c r="AI223" i="11" s="1"/>
  <c r="AI224" i="11" s="1"/>
  <c r="AI225" i="11" s="1"/>
  <c r="AI226" i="11" s="1"/>
  <c r="AI227" i="11" s="1"/>
  <c r="AI228" i="11" s="1"/>
  <c r="AI229" i="11" s="1"/>
  <c r="AI230" i="11" s="1"/>
  <c r="AI231" i="11" s="1"/>
  <c r="AI232" i="11" s="1"/>
  <c r="AI233" i="11" s="1"/>
  <c r="AI234" i="11" s="1"/>
  <c r="AI235" i="11" s="1"/>
  <c r="AI236" i="11" s="1"/>
  <c r="AI237" i="11" s="1"/>
  <c r="AI238" i="11" s="1"/>
  <c r="AI239" i="11" s="1"/>
  <c r="AI240" i="11" s="1"/>
  <c r="AI241" i="11" s="1"/>
  <c r="AI242" i="11" s="1"/>
  <c r="AI243" i="11" s="1"/>
  <c r="AI244" i="11" s="1"/>
  <c r="AI245" i="11" s="1"/>
  <c r="AI246" i="11" s="1"/>
  <c r="AI247" i="11" s="1"/>
  <c r="AI248" i="11" s="1"/>
  <c r="AI249" i="11" s="1"/>
  <c r="AI250" i="11" s="1"/>
  <c r="AI251" i="11" s="1"/>
  <c r="AI252" i="11" s="1"/>
  <c r="AI253" i="11" s="1"/>
  <c r="AI254" i="11" s="1"/>
  <c r="AI255" i="11" s="1"/>
  <c r="AI256" i="11" s="1"/>
  <c r="AI257" i="11" s="1"/>
  <c r="AI258" i="11" s="1"/>
  <c r="AI259" i="11" s="1"/>
  <c r="I22" i="12"/>
  <c r="L16" i="1"/>
  <c r="N19" i="1"/>
  <c r="AU201" i="11"/>
  <c r="AU202" i="11" s="1"/>
  <c r="AU203" i="11" s="1"/>
  <c r="AU204" i="11" s="1"/>
  <c r="AU205" i="11" s="1"/>
  <c r="AU206" i="11" s="1"/>
  <c r="AU207" i="11" s="1"/>
  <c r="AU208" i="11" s="1"/>
  <c r="AU209" i="11" s="1"/>
  <c r="AU210" i="11" s="1"/>
  <c r="AU211" i="11" s="1"/>
  <c r="AU212" i="11" s="1"/>
  <c r="AU213" i="11" s="1"/>
  <c r="AU214" i="11" s="1"/>
  <c r="AU215" i="11" s="1"/>
  <c r="AU216" i="11" s="1"/>
  <c r="AU217" i="11" s="1"/>
  <c r="AU218" i="11" s="1"/>
  <c r="AU219" i="11" s="1"/>
  <c r="AU220" i="11" s="1"/>
  <c r="AU221" i="11" s="1"/>
  <c r="AU222" i="11" s="1"/>
  <c r="AU223" i="11" s="1"/>
  <c r="AU224" i="11" s="1"/>
  <c r="AU225" i="11" s="1"/>
  <c r="AU226" i="11" s="1"/>
  <c r="AU227" i="11" s="1"/>
  <c r="AU228" i="11" s="1"/>
  <c r="AU229" i="11" s="1"/>
  <c r="AU230" i="11" s="1"/>
  <c r="AU231" i="11" s="1"/>
  <c r="AU232" i="11" s="1"/>
  <c r="AU233" i="11" s="1"/>
  <c r="AU234" i="11" s="1"/>
  <c r="AU235" i="11" s="1"/>
  <c r="AU236" i="11" s="1"/>
  <c r="AU237" i="11" s="1"/>
  <c r="AU238" i="11" s="1"/>
  <c r="AU239" i="11" s="1"/>
  <c r="AU240" i="11" s="1"/>
  <c r="AU241" i="11" s="1"/>
  <c r="AU242" i="11" s="1"/>
  <c r="AU243" i="11" s="1"/>
  <c r="AU244" i="11" s="1"/>
  <c r="AU245" i="11" s="1"/>
  <c r="AU246" i="11" s="1"/>
  <c r="AU247" i="11" s="1"/>
  <c r="AU248" i="11" s="1"/>
  <c r="AU249" i="11" s="1"/>
  <c r="AU250" i="11" s="1"/>
  <c r="AU251" i="11" s="1"/>
  <c r="AU252" i="11" s="1"/>
  <c r="AU253" i="11" s="1"/>
  <c r="AU254" i="11" s="1"/>
  <c r="AU255" i="11" s="1"/>
  <c r="AU256" i="11" s="1"/>
  <c r="AU257" i="11" s="1"/>
  <c r="AU258" i="11" s="1"/>
  <c r="AU259" i="11" s="1"/>
  <c r="AC58" i="11"/>
  <c r="AC59" i="11" s="1"/>
  <c r="AC60" i="11" s="1"/>
  <c r="AC61" i="11" s="1"/>
  <c r="AC62" i="11" s="1"/>
  <c r="AC63" i="11" s="1"/>
  <c r="AC64" i="11" s="1"/>
  <c r="AC65" i="11" s="1"/>
  <c r="AC66" i="11" s="1"/>
  <c r="AC67" i="11" s="1"/>
  <c r="AC68" i="11" s="1"/>
  <c r="AC69" i="11" s="1"/>
  <c r="AC70" i="11" s="1"/>
  <c r="AC71" i="11" s="1"/>
  <c r="AC72" i="11" s="1"/>
  <c r="AC73" i="11" s="1"/>
  <c r="AC74" i="11" s="1"/>
  <c r="AC75" i="11" s="1"/>
  <c r="AC76" i="11" s="1"/>
  <c r="AC77" i="11" s="1"/>
  <c r="AC78" i="11" s="1"/>
  <c r="AC79" i="11" s="1"/>
  <c r="AC80" i="11" s="1"/>
  <c r="AC81" i="11" s="1"/>
  <c r="AC82" i="11" s="1"/>
  <c r="AC83" i="11" s="1"/>
  <c r="AC84" i="11" s="1"/>
  <c r="AC85" i="11" s="1"/>
  <c r="AC86" i="11" s="1"/>
  <c r="AC87" i="11" s="1"/>
  <c r="AC88" i="11" s="1"/>
  <c r="AC89" i="11" s="1"/>
  <c r="AC90" i="11" s="1"/>
  <c r="AC91" i="11" s="1"/>
  <c r="AC92" i="11" s="1"/>
  <c r="AC93" i="11" s="1"/>
  <c r="AC94" i="11" s="1"/>
  <c r="AC95" i="11" s="1"/>
  <c r="AC96" i="11" s="1"/>
  <c r="AC97" i="11" s="1"/>
  <c r="AC98" i="11" s="1"/>
  <c r="AC99" i="11" s="1"/>
  <c r="AC100" i="11" s="1"/>
  <c r="AC101" i="11" s="1"/>
  <c r="AC102" i="11" s="1"/>
  <c r="AC103" i="11" s="1"/>
  <c r="AC104" i="11" s="1"/>
  <c r="AC105" i="11" s="1"/>
  <c r="AC106" i="11" s="1"/>
  <c r="AC107" i="11" s="1"/>
  <c r="AC108" i="11" s="1"/>
  <c r="AC109" i="11" s="1"/>
  <c r="AC110" i="11" s="1"/>
  <c r="AC111" i="11" s="1"/>
  <c r="AC112" i="11" s="1"/>
  <c r="AC113" i="11" s="1"/>
  <c r="AC114" i="11" s="1"/>
  <c r="AC115" i="11" s="1"/>
  <c r="AC116" i="11" s="1"/>
  <c r="B17" i="8"/>
  <c r="C410" i="11"/>
  <c r="C391" i="11" l="1"/>
  <c r="C342" i="11"/>
  <c r="C369" i="11"/>
  <c r="C386" i="11"/>
  <c r="C353" i="11"/>
  <c r="C349" i="11"/>
  <c r="C352" i="11"/>
  <c r="C334" i="11"/>
  <c r="C379" i="11"/>
  <c r="I28" i="12"/>
  <c r="C346" i="11"/>
  <c r="I59" i="12"/>
  <c r="I46" i="12"/>
  <c r="C370" i="11"/>
  <c r="C351" i="11"/>
  <c r="I30" i="12"/>
  <c r="C381" i="11"/>
  <c r="C378" i="11"/>
  <c r="C354" i="11"/>
  <c r="C388" i="11"/>
  <c r="C360" i="11"/>
  <c r="I43" i="12"/>
  <c r="I32" i="12"/>
  <c r="C338" i="11"/>
  <c r="I47" i="12"/>
  <c r="I56" i="12"/>
  <c r="I48" i="12"/>
  <c r="I65" i="12"/>
  <c r="I68" i="12"/>
  <c r="I77" i="12"/>
  <c r="I72" i="12"/>
  <c r="I57" i="12"/>
  <c r="I78" i="12"/>
  <c r="I20" i="12"/>
  <c r="C359" i="11"/>
  <c r="I67" i="12"/>
  <c r="C390" i="11"/>
  <c r="I25" i="12"/>
  <c r="I61" i="12"/>
  <c r="C355" i="11"/>
  <c r="I42" i="12"/>
  <c r="C336" i="11"/>
  <c r="I51" i="12"/>
  <c r="C377" i="11"/>
  <c r="C344" i="11"/>
  <c r="C367" i="11"/>
  <c r="C365" i="11"/>
  <c r="I19" i="12"/>
  <c r="I26" i="12"/>
  <c r="C375" i="11"/>
  <c r="I69" i="12"/>
  <c r="F272" i="11"/>
  <c r="F273" i="11" s="1"/>
  <c r="F274" i="11" s="1"/>
  <c r="F275" i="11" s="1"/>
  <c r="F276" i="11" s="1"/>
  <c r="F277" i="11" s="1"/>
  <c r="F278" i="11" s="1"/>
  <c r="F279" i="11" s="1"/>
  <c r="F280" i="11" s="1"/>
  <c r="F281" i="11" s="1"/>
  <c r="F282" i="11" s="1"/>
  <c r="F283" i="11" s="1"/>
  <c r="F284" i="11" s="1"/>
  <c r="F285" i="11" s="1"/>
  <c r="F286" i="11" s="1"/>
  <c r="F287" i="11" s="1"/>
  <c r="F288" i="11" s="1"/>
  <c r="F289" i="11" s="1"/>
  <c r="F290" i="11" s="1"/>
  <c r="F291" i="11" s="1"/>
  <c r="F292" i="11" s="1"/>
  <c r="F293" i="11" s="1"/>
  <c r="F294" i="11" s="1"/>
  <c r="F295" i="11" s="1"/>
  <c r="F296" i="11" s="1"/>
  <c r="F297" i="11" s="1"/>
  <c r="F298" i="11" s="1"/>
  <c r="F299" i="11" s="1"/>
  <c r="F300" i="11" s="1"/>
  <c r="F301" i="11" s="1"/>
  <c r="F302" i="11" s="1"/>
  <c r="F303" i="11" s="1"/>
  <c r="F304" i="11" s="1"/>
  <c r="F305" i="11" s="1"/>
  <c r="F306" i="11" s="1"/>
  <c r="F307" i="11" s="1"/>
  <c r="F308" i="11" s="1"/>
  <c r="F309" i="11" s="1"/>
  <c r="F310" i="11" s="1"/>
  <c r="F311" i="11" s="1"/>
  <c r="F312" i="11" s="1"/>
  <c r="F313" i="11" s="1"/>
  <c r="F314" i="11" s="1"/>
  <c r="F315" i="11" s="1"/>
  <c r="F316" i="11" s="1"/>
  <c r="F317" i="11" s="1"/>
  <c r="F318" i="11" s="1"/>
  <c r="F319" i="11" s="1"/>
  <c r="F320" i="11" s="1"/>
  <c r="F321" i="11" s="1"/>
  <c r="F322" i="11" s="1"/>
  <c r="F323" i="11" s="1"/>
  <c r="F324" i="11" s="1"/>
  <c r="F325" i="11" s="1"/>
  <c r="F326" i="11" s="1"/>
  <c r="F327" i="11" s="1"/>
  <c r="F328" i="11" s="1"/>
  <c r="F329" i="11" s="1"/>
  <c r="F330" i="11" s="1"/>
  <c r="I41" i="12"/>
  <c r="Q130" i="11"/>
  <c r="Q131" i="11" s="1"/>
  <c r="Q132" i="11" s="1"/>
  <c r="Q133" i="11" s="1"/>
  <c r="Q134" i="11" s="1"/>
  <c r="Q135" i="11" s="1"/>
  <c r="Q136" i="11" s="1"/>
  <c r="Q137" i="11" s="1"/>
  <c r="Q138" i="11" s="1"/>
  <c r="Q139" i="11" s="1"/>
  <c r="Q140" i="11" s="1"/>
  <c r="Q141" i="11" s="1"/>
  <c r="Q142" i="11" s="1"/>
  <c r="Q143" i="11" s="1"/>
  <c r="Q144" i="11" s="1"/>
  <c r="Q145" i="11" s="1"/>
  <c r="Q146" i="11" s="1"/>
  <c r="Q147" i="11" s="1"/>
  <c r="Q148" i="11" s="1"/>
  <c r="Q149" i="11" s="1"/>
  <c r="Q150" i="11" s="1"/>
  <c r="Q151" i="11" s="1"/>
  <c r="Q152" i="11" s="1"/>
  <c r="Q153" i="11" s="1"/>
  <c r="Q154" i="11" s="1"/>
  <c r="Q155" i="11" s="1"/>
  <c r="Q156" i="11" s="1"/>
  <c r="Q157" i="11" s="1"/>
  <c r="Q158" i="11" s="1"/>
  <c r="Q159" i="11" s="1"/>
  <c r="Q160" i="11" s="1"/>
  <c r="Q161" i="11" s="1"/>
  <c r="Q162" i="11" s="1"/>
  <c r="Q163" i="11" s="1"/>
  <c r="Q164" i="11" s="1"/>
  <c r="Q165" i="11" s="1"/>
  <c r="Q166" i="11" s="1"/>
  <c r="Q167" i="11" s="1"/>
  <c r="Q168" i="11" s="1"/>
  <c r="Q169" i="11" s="1"/>
  <c r="Q170" i="11" s="1"/>
  <c r="Q171" i="11" s="1"/>
  <c r="Q172" i="11" s="1"/>
  <c r="Q173" i="11" s="1"/>
  <c r="Q174" i="11" s="1"/>
  <c r="Q175" i="11" s="1"/>
  <c r="Q176" i="11" s="1"/>
  <c r="Q177" i="11" s="1"/>
  <c r="Q178" i="11" s="1"/>
  <c r="Q179" i="11" s="1"/>
  <c r="Q180" i="11" s="1"/>
  <c r="Q181" i="11" s="1"/>
  <c r="Q182" i="11" s="1"/>
  <c r="Q183" i="11" s="1"/>
  <c r="Q184" i="11" s="1"/>
  <c r="Q185" i="11" s="1"/>
  <c r="Q186" i="11" s="1"/>
  <c r="Q187" i="11" s="1"/>
  <c r="Q188" i="11" s="1"/>
  <c r="C373" i="11"/>
  <c r="I53" i="12"/>
  <c r="I33" i="12"/>
  <c r="I74" i="12"/>
  <c r="C364" i="11"/>
  <c r="C350" i="11"/>
  <c r="F131" i="11"/>
  <c r="F132" i="11" s="1"/>
  <c r="F133" i="11" s="1"/>
  <c r="F134" i="11" s="1"/>
  <c r="F135" i="11" s="1"/>
  <c r="F136" i="11" s="1"/>
  <c r="F137" i="11" s="1"/>
  <c r="F138" i="11" s="1"/>
  <c r="F139" i="11" s="1"/>
  <c r="F140" i="11" s="1"/>
  <c r="F141" i="11" s="1"/>
  <c r="F142" i="11" s="1"/>
  <c r="F143" i="11" s="1"/>
  <c r="F144" i="11" s="1"/>
  <c r="F145" i="11" s="1"/>
  <c r="F146" i="11" s="1"/>
  <c r="F147" i="11" s="1"/>
  <c r="F148" i="11" s="1"/>
  <c r="F149" i="11" s="1"/>
  <c r="F150" i="11" s="1"/>
  <c r="F151" i="11" s="1"/>
  <c r="F152" i="11" s="1"/>
  <c r="F153" i="11" s="1"/>
  <c r="F154" i="11" s="1"/>
  <c r="F155" i="11" s="1"/>
  <c r="F156" i="11" s="1"/>
  <c r="F157" i="11" s="1"/>
  <c r="F158" i="11" s="1"/>
  <c r="F159" i="11" s="1"/>
  <c r="F160" i="11" s="1"/>
  <c r="F161" i="11" s="1"/>
  <c r="F162" i="11" s="1"/>
  <c r="F163" i="11" s="1"/>
  <c r="F164" i="11" s="1"/>
  <c r="F165" i="11" s="1"/>
  <c r="F166" i="11" s="1"/>
  <c r="F167" i="11" s="1"/>
  <c r="F168" i="11" s="1"/>
  <c r="F169" i="11" s="1"/>
  <c r="F170" i="11" s="1"/>
  <c r="F171" i="11" s="1"/>
  <c r="F172" i="11" s="1"/>
  <c r="F173" i="11" s="1"/>
  <c r="F174" i="11" s="1"/>
  <c r="F175" i="11" s="1"/>
  <c r="F176" i="11" s="1"/>
  <c r="F177" i="11" s="1"/>
  <c r="F178" i="11" s="1"/>
  <c r="F179" i="11" s="1"/>
  <c r="F180" i="11" s="1"/>
  <c r="F181" i="11" s="1"/>
  <c r="F182" i="11" s="1"/>
  <c r="F183" i="11" s="1"/>
  <c r="F184" i="11" s="1"/>
  <c r="F185" i="11" s="1"/>
  <c r="F186" i="11" s="1"/>
  <c r="F187" i="11" s="1"/>
  <c r="F188" i="11" s="1"/>
  <c r="C339" i="11"/>
  <c r="F201" i="11"/>
  <c r="F202" i="11" s="1"/>
  <c r="F203" i="11" s="1"/>
  <c r="F204" i="11" s="1"/>
  <c r="F205" i="11" s="1"/>
  <c r="F206" i="11" s="1"/>
  <c r="F207" i="11" s="1"/>
  <c r="F208" i="11" s="1"/>
  <c r="F209" i="11" s="1"/>
  <c r="F210" i="11" s="1"/>
  <c r="F211" i="11" s="1"/>
  <c r="F212" i="11" s="1"/>
  <c r="F213" i="11" s="1"/>
  <c r="F214" i="11" s="1"/>
  <c r="F215" i="11" s="1"/>
  <c r="F216" i="11" s="1"/>
  <c r="F217" i="11" s="1"/>
  <c r="F218" i="11" s="1"/>
  <c r="F219" i="11" s="1"/>
  <c r="F220" i="11" s="1"/>
  <c r="F221" i="11" s="1"/>
  <c r="F222" i="11" s="1"/>
  <c r="F223" i="11" s="1"/>
  <c r="F224" i="11" s="1"/>
  <c r="F225" i="11" s="1"/>
  <c r="F226" i="11" s="1"/>
  <c r="F227" i="11" s="1"/>
  <c r="F228" i="11" s="1"/>
  <c r="F229" i="11" s="1"/>
  <c r="F230" i="11" s="1"/>
  <c r="F231" i="11" s="1"/>
  <c r="F232" i="11" s="1"/>
  <c r="F233" i="11" s="1"/>
  <c r="F234" i="11" s="1"/>
  <c r="F235" i="11" s="1"/>
  <c r="F236" i="11" s="1"/>
  <c r="F237" i="11" s="1"/>
  <c r="F238" i="11" s="1"/>
  <c r="F239" i="11" s="1"/>
  <c r="F240" i="11" s="1"/>
  <c r="F241" i="11" s="1"/>
  <c r="F242" i="11" s="1"/>
  <c r="F243" i="11" s="1"/>
  <c r="F244" i="11" s="1"/>
  <c r="F245" i="11" s="1"/>
  <c r="F246" i="11" s="1"/>
  <c r="F247" i="11" s="1"/>
  <c r="F248" i="11" s="1"/>
  <c r="F249" i="11" s="1"/>
  <c r="F250" i="11" s="1"/>
  <c r="F251" i="11" s="1"/>
  <c r="F252" i="11" s="1"/>
  <c r="F253" i="11" s="1"/>
  <c r="F254" i="11" s="1"/>
  <c r="F255" i="11" s="1"/>
  <c r="F256" i="11" s="1"/>
  <c r="F257" i="11" s="1"/>
  <c r="F258" i="11" s="1"/>
  <c r="F259" i="11" s="1"/>
  <c r="Q201" i="11"/>
  <c r="Q202" i="11" s="1"/>
  <c r="Q203" i="11" s="1"/>
  <c r="Q204" i="11" s="1"/>
  <c r="Q205" i="11" s="1"/>
  <c r="Q206" i="11" s="1"/>
  <c r="Q207" i="11" s="1"/>
  <c r="Q208" i="11" s="1"/>
  <c r="Q209" i="11" s="1"/>
  <c r="Q210" i="11" s="1"/>
  <c r="Q211" i="11" s="1"/>
  <c r="Q212" i="11" s="1"/>
  <c r="Q213" i="11" s="1"/>
  <c r="Q214" i="11" s="1"/>
  <c r="Q215" i="11" s="1"/>
  <c r="Q216" i="11" s="1"/>
  <c r="Q217" i="11" s="1"/>
  <c r="Q218" i="11" s="1"/>
  <c r="Q219" i="11" s="1"/>
  <c r="Q220" i="11" s="1"/>
  <c r="Q221" i="11" s="1"/>
  <c r="Q222" i="11" s="1"/>
  <c r="Q223" i="11" s="1"/>
  <c r="Q224" i="11" s="1"/>
  <c r="Q225" i="11" s="1"/>
  <c r="Q226" i="11" s="1"/>
  <c r="Q227" i="11" s="1"/>
  <c r="Q228" i="11" s="1"/>
  <c r="Q229" i="11" s="1"/>
  <c r="Q230" i="11" s="1"/>
  <c r="Q231" i="11" s="1"/>
  <c r="Q232" i="11" s="1"/>
  <c r="Q233" i="11" s="1"/>
  <c r="Q234" i="11" s="1"/>
  <c r="Q235" i="11" s="1"/>
  <c r="Q236" i="11" s="1"/>
  <c r="Q237" i="11" s="1"/>
  <c r="Q238" i="11" s="1"/>
  <c r="Q239" i="11" s="1"/>
  <c r="Q240" i="11" s="1"/>
  <c r="Q241" i="11" s="1"/>
  <c r="Q242" i="11" s="1"/>
  <c r="Q243" i="11" s="1"/>
  <c r="Q244" i="11" s="1"/>
  <c r="Q245" i="11" s="1"/>
  <c r="Q246" i="11" s="1"/>
  <c r="Q247" i="11" s="1"/>
  <c r="Q248" i="11" s="1"/>
  <c r="Q249" i="11" s="1"/>
  <c r="Q250" i="11" s="1"/>
  <c r="Q251" i="11" s="1"/>
  <c r="Q252" i="11" s="1"/>
  <c r="Q253" i="11" s="1"/>
  <c r="Q254" i="11" s="1"/>
  <c r="Q255" i="11" s="1"/>
  <c r="Q256" i="11" s="1"/>
  <c r="Q257" i="11" s="1"/>
  <c r="Q258" i="11" s="1"/>
  <c r="Q259" i="11" s="1"/>
  <c r="Q272" i="11"/>
  <c r="Q273" i="11" s="1"/>
  <c r="Q274" i="11" s="1"/>
  <c r="Q275" i="11" s="1"/>
  <c r="Q276" i="11" s="1"/>
  <c r="Q277" i="11" s="1"/>
  <c r="Q278" i="11" s="1"/>
  <c r="Q279" i="11" s="1"/>
  <c r="Q280" i="11" s="1"/>
  <c r="Q281" i="11" s="1"/>
  <c r="Q282" i="11" s="1"/>
  <c r="Q283" i="11" s="1"/>
  <c r="Q284" i="11" s="1"/>
  <c r="Q285" i="11" s="1"/>
  <c r="Q286" i="11" s="1"/>
  <c r="Q287" i="11" s="1"/>
  <c r="Q288" i="11" s="1"/>
  <c r="Q289" i="11" s="1"/>
  <c r="Q290" i="11" s="1"/>
  <c r="Q291" i="11" s="1"/>
  <c r="Q292" i="11" s="1"/>
  <c r="Q293" i="11" s="1"/>
  <c r="Q294" i="11" s="1"/>
  <c r="Q295" i="11" s="1"/>
  <c r="Q296" i="11" s="1"/>
  <c r="Q297" i="11" s="1"/>
  <c r="Q298" i="11" s="1"/>
  <c r="Q299" i="11" s="1"/>
  <c r="Q300" i="11" s="1"/>
  <c r="Q301" i="11" s="1"/>
  <c r="Q302" i="11" s="1"/>
  <c r="Q303" i="11" s="1"/>
  <c r="Q304" i="11" s="1"/>
  <c r="Q305" i="11" s="1"/>
  <c r="Q306" i="11" s="1"/>
  <c r="Q307" i="11" s="1"/>
  <c r="Q308" i="11" s="1"/>
  <c r="Q309" i="11" s="1"/>
  <c r="Q310" i="11" s="1"/>
  <c r="Q311" i="11" s="1"/>
  <c r="Q312" i="11" s="1"/>
  <c r="Q313" i="11" s="1"/>
  <c r="Q314" i="11" s="1"/>
  <c r="Q315" i="11" s="1"/>
  <c r="Q316" i="11" s="1"/>
  <c r="Q317" i="11" s="1"/>
  <c r="Q318" i="11" s="1"/>
  <c r="Q319" i="11" s="1"/>
  <c r="Q320" i="11" s="1"/>
  <c r="Q321" i="11" s="1"/>
  <c r="Q322" i="11" s="1"/>
  <c r="Q323" i="11" s="1"/>
  <c r="Q324" i="11" s="1"/>
  <c r="Q325" i="11" s="1"/>
  <c r="Q326" i="11" s="1"/>
  <c r="Q327" i="11" s="1"/>
  <c r="Q328" i="11" s="1"/>
  <c r="Q329" i="11" s="1"/>
  <c r="Q330" i="11" s="1"/>
  <c r="Q58" i="11"/>
  <c r="Q59" i="11" s="1"/>
  <c r="Q60" i="11" s="1"/>
  <c r="Q61" i="11" s="1"/>
  <c r="Q62" i="11" s="1"/>
  <c r="Q63" i="11" s="1"/>
  <c r="Q64" i="11" s="1"/>
  <c r="Q65" i="11" s="1"/>
  <c r="Q66" i="11" s="1"/>
  <c r="Q67" i="11" s="1"/>
  <c r="Q68" i="11" s="1"/>
  <c r="Q69" i="11" s="1"/>
  <c r="Q70" i="11" s="1"/>
  <c r="Q71" i="11" s="1"/>
  <c r="Q72" i="11" s="1"/>
  <c r="Q73" i="11" s="1"/>
  <c r="Q74" i="11" s="1"/>
  <c r="Q75" i="11" s="1"/>
  <c r="Q76" i="11" s="1"/>
  <c r="Q77" i="11" s="1"/>
  <c r="Q78" i="11" s="1"/>
  <c r="Q79" i="11" s="1"/>
  <c r="Q80" i="11" s="1"/>
  <c r="Q81" i="11" s="1"/>
  <c r="Q82" i="11" s="1"/>
  <c r="Q83" i="11" s="1"/>
  <c r="Q84" i="11" s="1"/>
  <c r="Q85" i="11" s="1"/>
  <c r="Q86" i="11" s="1"/>
  <c r="Q87" i="11" s="1"/>
  <c r="Q88" i="11" s="1"/>
  <c r="Q89" i="11" s="1"/>
  <c r="Q90" i="11" s="1"/>
  <c r="Q91" i="11" s="1"/>
  <c r="Q92" i="11" s="1"/>
  <c r="Q93" i="11" s="1"/>
  <c r="Q94" i="11" s="1"/>
  <c r="Q95" i="11" s="1"/>
  <c r="Q96" i="11" s="1"/>
  <c r="Q97" i="11" s="1"/>
  <c r="Q98" i="11" s="1"/>
  <c r="Q99" i="11" s="1"/>
  <c r="Q100" i="11" s="1"/>
  <c r="Q101" i="11" s="1"/>
  <c r="Q102" i="11" s="1"/>
  <c r="Q103" i="11" s="1"/>
  <c r="Q104" i="11" s="1"/>
  <c r="Q105" i="11" s="1"/>
  <c r="Q106" i="11" s="1"/>
  <c r="Q107" i="11" s="1"/>
  <c r="Q108" i="11" s="1"/>
  <c r="Q109" i="11" s="1"/>
  <c r="Q110" i="11" s="1"/>
  <c r="Q111" i="11" s="1"/>
  <c r="Q112" i="11" s="1"/>
  <c r="Q113" i="11" s="1"/>
  <c r="Q114" i="11" s="1"/>
  <c r="Q115" i="11" s="1"/>
  <c r="Q116" i="11" s="1"/>
  <c r="N16" i="1"/>
  <c r="P19" i="1"/>
  <c r="C411" i="11"/>
  <c r="B18" i="8"/>
  <c r="D353" i="11" l="1"/>
  <c r="E353" i="11" s="1"/>
  <c r="D383" i="11"/>
  <c r="E383" i="11" s="1"/>
  <c r="D339" i="11"/>
  <c r="D360" i="11"/>
  <c r="E360" i="11" s="1"/>
  <c r="D382" i="11"/>
  <c r="E382" i="11" s="1"/>
  <c r="D348" i="11"/>
  <c r="E348" i="11" s="1"/>
  <c r="D345" i="11"/>
  <c r="E345" i="11" s="1"/>
  <c r="D356" i="11"/>
  <c r="E356" i="11" s="1"/>
  <c r="D341" i="11"/>
  <c r="D375" i="11"/>
  <c r="E375" i="11" s="1"/>
  <c r="D378" i="11"/>
  <c r="E378" i="11" s="1"/>
  <c r="D343" i="11"/>
  <c r="E343" i="11" s="1"/>
  <c r="D352" i="11"/>
  <c r="E352" i="11" s="1"/>
  <c r="D371" i="11"/>
  <c r="E371" i="11" s="1"/>
  <c r="D367" i="11"/>
  <c r="E367" i="11" s="1"/>
  <c r="D340" i="11"/>
  <c r="D338" i="11"/>
  <c r="D369" i="11"/>
  <c r="E369" i="11" s="1"/>
  <c r="D344" i="11"/>
  <c r="E344" i="11" s="1"/>
  <c r="D362" i="11"/>
  <c r="E362" i="11" s="1"/>
  <c r="D390" i="11"/>
  <c r="E390" i="11" s="1"/>
  <c r="D349" i="11"/>
  <c r="E349" i="11" s="1"/>
  <c r="D365" i="11"/>
  <c r="E365" i="11" s="1"/>
  <c r="D364" i="11"/>
  <c r="E364" i="11" s="1"/>
  <c r="D335" i="11"/>
  <c r="D370" i="11"/>
  <c r="E370" i="11" s="1"/>
  <c r="D351" i="11"/>
  <c r="E351" i="11" s="1"/>
  <c r="D387" i="11"/>
  <c r="E387" i="11" s="1"/>
  <c r="D393" i="11"/>
  <c r="D379" i="11"/>
  <c r="E379" i="11" s="1"/>
  <c r="D380" i="11"/>
  <c r="E380" i="11" s="1"/>
  <c r="D342" i="11"/>
  <c r="E342" i="11" s="1"/>
  <c r="D358" i="11"/>
  <c r="E358" i="11" s="1"/>
  <c r="D372" i="11"/>
  <c r="E372" i="11" s="1"/>
  <c r="D350" i="11"/>
  <c r="E350" i="11" s="1"/>
  <c r="D357" i="11"/>
  <c r="E357" i="11" s="1"/>
  <c r="D373" i="11"/>
  <c r="E373" i="11" s="1"/>
  <c r="D385" i="11"/>
  <c r="E385" i="11" s="1"/>
  <c r="D389" i="11"/>
  <c r="E389" i="11" s="1"/>
  <c r="D391" i="11"/>
  <c r="E391" i="11" s="1"/>
  <c r="D347" i="11"/>
  <c r="E347" i="11" s="1"/>
  <c r="D376" i="11"/>
  <c r="E376" i="11" s="1"/>
  <c r="D384" i="11"/>
  <c r="E384" i="11" s="1"/>
  <c r="D337" i="11"/>
  <c r="D386" i="11"/>
  <c r="E386" i="11" s="1"/>
  <c r="D355" i="11"/>
  <c r="E355" i="11" s="1"/>
  <c r="D377" i="11"/>
  <c r="E377" i="11" s="1"/>
  <c r="D334" i="11"/>
  <c r="D392" i="11"/>
  <c r="D346" i="11"/>
  <c r="E346" i="11" s="1"/>
  <c r="D381" i="11"/>
  <c r="E381" i="11" s="1"/>
  <c r="D336" i="11"/>
  <c r="E336" i="11" s="1"/>
  <c r="D368" i="11"/>
  <c r="E368" i="11" s="1"/>
  <c r="D363" i="11"/>
  <c r="E363" i="11" s="1"/>
  <c r="D374" i="11"/>
  <c r="E374" i="11" s="1"/>
  <c r="D361" i="11"/>
  <c r="E361" i="11" s="1"/>
  <c r="D388" i="11"/>
  <c r="E388" i="11" s="1"/>
  <c r="D359" i="11"/>
  <c r="E359" i="11" s="1"/>
  <c r="D366" i="11"/>
  <c r="E366" i="11" s="1"/>
  <c r="D354" i="11"/>
  <c r="E354" i="11" s="1"/>
  <c r="R19" i="1"/>
  <c r="P16" i="1"/>
  <c r="C412" i="11"/>
  <c r="B19" i="8"/>
  <c r="T19" i="1" l="1"/>
  <c r="R16" i="1"/>
  <c r="B20" i="8"/>
  <c r="C413" i="11"/>
  <c r="V19" i="1" l="1"/>
  <c r="T16" i="1"/>
  <c r="B21" i="8"/>
  <c r="C414" i="11"/>
  <c r="X19" i="1" l="1"/>
  <c r="V16" i="1"/>
  <c r="C415" i="11"/>
  <c r="B22" i="8"/>
  <c r="Z19" i="1" l="1"/>
  <c r="X16" i="1"/>
  <c r="C416" i="11"/>
  <c r="B23" i="8"/>
  <c r="AB19" i="1" l="1"/>
  <c r="Z16" i="1"/>
  <c r="B24" i="8"/>
  <c r="C417" i="11"/>
  <c r="AD19" i="1" l="1"/>
  <c r="AB16" i="1"/>
  <c r="B25" i="8"/>
  <c r="C418" i="11"/>
  <c r="AD16" i="1" l="1"/>
  <c r="AF19" i="1"/>
  <c r="C419" i="11"/>
  <c r="B26" i="8"/>
  <c r="AF16" i="1" l="1"/>
  <c r="AH19" i="1"/>
  <c r="C420" i="11"/>
  <c r="B27" i="8"/>
  <c r="AH16" i="1" l="1"/>
  <c r="AJ19" i="1"/>
  <c r="B28" i="8"/>
  <c r="C421" i="11"/>
  <c r="AJ16" i="1" l="1"/>
  <c r="AL19" i="1"/>
  <c r="B29" i="8"/>
  <c r="C422" i="11"/>
  <c r="AL16" i="1" l="1"/>
  <c r="AN19" i="1"/>
  <c r="C423" i="11"/>
  <c r="B30" i="8"/>
  <c r="AP19" i="1" l="1"/>
  <c r="AN16" i="1"/>
  <c r="C424" i="11"/>
  <c r="B31" i="8"/>
  <c r="AR19" i="1" l="1"/>
  <c r="AP16" i="1"/>
  <c r="B32" i="8"/>
  <c r="C425" i="11"/>
  <c r="AT19" i="1" l="1"/>
  <c r="AR16" i="1"/>
  <c r="B33" i="8"/>
  <c r="C426" i="11"/>
  <c r="AV19" i="1" l="1"/>
  <c r="AT16" i="1"/>
  <c r="C427" i="11"/>
  <c r="B34" i="8"/>
  <c r="AX19" i="1" l="1"/>
  <c r="AV16" i="1"/>
  <c r="C428" i="11"/>
  <c r="B35" i="8"/>
  <c r="AZ19" i="1" l="1"/>
  <c r="AX16" i="1"/>
  <c r="B36" i="8"/>
  <c r="C429" i="11"/>
  <c r="BB19" i="1" l="1"/>
  <c r="AZ16" i="1"/>
  <c r="B37" i="8"/>
  <c r="C430" i="11"/>
  <c r="BB16" i="1" l="1"/>
  <c r="BD19" i="1"/>
  <c r="C431" i="11"/>
  <c r="B38" i="8"/>
  <c r="BD16" i="1" l="1"/>
  <c r="BF19" i="1"/>
  <c r="C432" i="11"/>
  <c r="B39" i="8"/>
  <c r="BF16" i="1" l="1"/>
  <c r="BH19" i="1"/>
  <c r="B40" i="8"/>
  <c r="C433" i="11"/>
  <c r="BH16" i="1" l="1"/>
  <c r="BJ19" i="1"/>
  <c r="B41" i="8"/>
  <c r="C434" i="11"/>
  <c r="BJ16" i="1" l="1"/>
  <c r="BL19" i="1"/>
  <c r="BL16" i="1" s="1"/>
  <c r="C435" i="11"/>
  <c r="B42" i="8"/>
  <c r="C436" i="11" l="1"/>
  <c r="B43" i="8"/>
  <c r="B44" i="8" l="1"/>
  <c r="C437" i="11"/>
  <c r="B45" i="8" l="1"/>
  <c r="C438" i="11"/>
  <c r="B46" i="8" l="1"/>
  <c r="C439" i="11"/>
  <c r="C440" i="11" l="1"/>
  <c r="B47" i="8"/>
  <c r="B48" i="8" l="1"/>
  <c r="C441" i="11"/>
  <c r="B49" i="8" l="1"/>
  <c r="C442" i="11"/>
  <c r="B50" i="8" l="1"/>
  <c r="C443" i="11"/>
  <c r="C444" i="11" l="1"/>
  <c r="B51" i="8"/>
  <c r="B52" i="8" l="1"/>
  <c r="C445" i="11"/>
  <c r="B53" i="8" l="1"/>
  <c r="C446" i="11"/>
  <c r="C447" i="11" l="1"/>
  <c r="B54" i="8"/>
  <c r="C448" i="11" l="1"/>
  <c r="B55" i="8"/>
  <c r="B56" i="8" l="1"/>
  <c r="C449" i="11"/>
  <c r="B57" i="8" l="1"/>
  <c r="C450" i="11"/>
  <c r="C451" i="11" l="1"/>
  <c r="B58" i="8"/>
  <c r="C452" i="11" l="1"/>
  <c r="B59" i="8"/>
  <c r="C453" i="11" l="1"/>
  <c r="B60" i="8"/>
  <c r="C454" i="11" l="1"/>
  <c r="B61" i="8"/>
  <c r="B62" i="8" l="1"/>
  <c r="C455" i="11"/>
  <c r="B63" i="8" l="1"/>
  <c r="C456" i="11"/>
  <c r="B64" i="8" l="1"/>
  <c r="C457" i="11"/>
  <c r="C458" i="11" l="1"/>
  <c r="B65" i="8"/>
  <c r="B66" i="8" l="1"/>
  <c r="C459" i="11"/>
  <c r="B67" i="8" l="1"/>
  <c r="C460" i="11"/>
  <c r="C461" i="11" l="1"/>
  <c r="B68" i="8"/>
  <c r="C462" i="11" l="1"/>
  <c r="B69" i="8"/>
  <c r="C463" i="11" l="1"/>
  <c r="B70" i="8"/>
  <c r="C464" i="11" l="1"/>
  <c r="B71" i="8"/>
  <c r="C465" i="11" l="1"/>
  <c r="B72" i="8"/>
  <c r="C466" i="11" l="1"/>
  <c r="B73" i="8"/>
  <c r="C467" i="11" l="1"/>
  <c r="B74" i="8"/>
  <c r="C468" i="11" l="1"/>
  <c r="B75" i="8"/>
  <c r="C469" i="11" l="1"/>
  <c r="B76" i="8"/>
  <c r="C470" i="11" l="1"/>
  <c r="B77" i="8"/>
  <c r="C471" i="11" l="1"/>
  <c r="B78" i="8"/>
  <c r="C472" i="11" l="1"/>
  <c r="B79" i="8"/>
  <c r="C473" i="11" l="1"/>
  <c r="B80" i="8"/>
  <c r="C474" i="11" l="1"/>
  <c r="B81" i="8"/>
  <c r="C475" i="11" l="1"/>
  <c r="B82" i="8"/>
  <c r="C476" i="11" l="1"/>
  <c r="I476" i="11" s="1"/>
  <c r="B83" i="8"/>
  <c r="C477" i="11" l="1"/>
  <c r="I477" i="11" s="1"/>
  <c r="B84" i="8"/>
  <c r="C478" i="11" l="1"/>
  <c r="I478" i="11" s="1"/>
  <c r="B85" i="8"/>
  <c r="C479" i="11" l="1"/>
  <c r="I479" i="11" s="1"/>
  <c r="B86" i="8"/>
  <c r="C480" i="11" l="1"/>
  <c r="I480" i="11" s="1"/>
  <c r="B87" i="8"/>
  <c r="C481" i="11" l="1"/>
  <c r="I481" i="11" s="1"/>
  <c r="B88" i="8"/>
  <c r="C482" i="11" l="1"/>
  <c r="I482" i="11" s="1"/>
  <c r="B89" i="8"/>
  <c r="C483" i="11" l="1"/>
  <c r="I483" i="11" s="1"/>
  <c r="B90" i="8"/>
  <c r="B91" i="8" l="1"/>
  <c r="C484" i="11"/>
  <c r="I484" i="11" s="1"/>
  <c r="C485" i="11" l="1"/>
  <c r="I485" i="11" s="1"/>
  <c r="B92" i="8"/>
  <c r="C486" i="11" l="1"/>
  <c r="I486" i="11" s="1"/>
  <c r="B93" i="8"/>
  <c r="E334" i="11" l="1"/>
  <c r="C487" i="11"/>
  <c r="I487" i="11" s="1"/>
  <c r="B94" i="8"/>
  <c r="C488" i="11" l="1"/>
  <c r="I488" i="11" s="1"/>
  <c r="B95" i="8"/>
  <c r="C489" i="11" l="1"/>
  <c r="I489" i="11" s="1"/>
  <c r="B96" i="8"/>
  <c r="E335" i="11" l="1"/>
  <c r="C490" i="11"/>
  <c r="I490" i="11" s="1"/>
  <c r="B97" i="8"/>
  <c r="E392" i="11" l="1"/>
  <c r="C491" i="11"/>
  <c r="I491" i="11" s="1"/>
  <c r="B98" i="8"/>
  <c r="C492" i="11" l="1"/>
  <c r="I492" i="11" s="1"/>
  <c r="B99" i="8"/>
  <c r="C493" i="11" l="1"/>
  <c r="I493" i="11" s="1"/>
  <c r="B100" i="8"/>
  <c r="C494" i="11" l="1"/>
  <c r="I494" i="11" s="1"/>
  <c r="B101" i="8"/>
  <c r="C495" i="11" l="1"/>
  <c r="I495" i="11" s="1"/>
  <c r="B102" i="8"/>
  <c r="C496" i="11" l="1"/>
  <c r="B103" i="8"/>
  <c r="C497" i="11" l="1"/>
  <c r="I497" i="11" s="1"/>
  <c r="B104" i="8"/>
  <c r="C498" i="11" l="1"/>
  <c r="I498" i="11" s="1"/>
  <c r="B105" i="8"/>
  <c r="C499" i="11" l="1"/>
  <c r="I499" i="11" s="1"/>
  <c r="B106" i="8"/>
  <c r="C500" i="11" l="1"/>
  <c r="I500" i="11" s="1"/>
  <c r="B107" i="8"/>
  <c r="C501" i="11" l="1"/>
  <c r="I501" i="11" s="1"/>
  <c r="B108" i="8"/>
  <c r="C502" i="11" l="1"/>
  <c r="I502" i="11" s="1"/>
  <c r="B109" i="8"/>
  <c r="C503" i="11" l="1"/>
  <c r="B110" i="8"/>
  <c r="C504" i="11" l="1"/>
  <c r="B111" i="8"/>
  <c r="I504" i="11" l="1"/>
  <c r="C505" i="11"/>
  <c r="I505" i="11" s="1"/>
  <c r="B112" i="8"/>
  <c r="C506" i="11" l="1"/>
  <c r="B113" i="8"/>
  <c r="C507" i="11" l="1"/>
  <c r="I507" i="11" s="1"/>
  <c r="B114" i="8"/>
  <c r="C508" i="11" l="1"/>
  <c r="B115" i="8"/>
  <c r="C509" i="11" l="1"/>
  <c r="B116" i="8"/>
  <c r="B117" i="8" l="1"/>
  <c r="C510" i="11"/>
  <c r="I510" i="11" s="1"/>
  <c r="C511" i="11" l="1"/>
  <c r="B118" i="8"/>
  <c r="C512" i="11" l="1"/>
  <c r="I512" i="11" s="1"/>
  <c r="B119" i="8"/>
  <c r="C513" i="11" l="1"/>
  <c r="B120" i="8"/>
  <c r="C514" i="11" l="1"/>
  <c r="B121" i="8"/>
  <c r="C515" i="11" l="1"/>
  <c r="I515" i="11" s="1"/>
  <c r="I402" i="11" s="1"/>
  <c r="B122" i="8"/>
  <c r="B334" i="11" l="1"/>
  <c r="B335" i="11" s="1"/>
  <c r="B336" i="11" s="1"/>
  <c r="B337" i="11" s="1"/>
  <c r="B200" i="11"/>
  <c r="B129" i="11"/>
  <c r="B57" i="11"/>
  <c r="AB5" i="18" s="1"/>
  <c r="B271" i="11"/>
  <c r="C516" i="11"/>
  <c r="B123" i="8"/>
  <c r="B338" i="11" l="1"/>
  <c r="B339" i="11" s="1"/>
  <c r="E337" i="11"/>
  <c r="B117" i="17"/>
  <c r="AB6" i="18"/>
  <c r="AB7" i="18" s="1"/>
  <c r="AB8" i="18" s="1"/>
  <c r="AB9" i="18" s="1"/>
  <c r="AB10" i="18" s="1"/>
  <c r="AB11" i="18" s="1"/>
  <c r="AB12" i="18" s="1"/>
  <c r="AB13" i="18" s="1"/>
  <c r="AB14" i="18" s="1"/>
  <c r="AB15" i="18" s="1"/>
  <c r="AB16" i="18" s="1"/>
  <c r="AB17" i="18" s="1"/>
  <c r="AB18" i="18" s="1"/>
  <c r="AB19" i="18" s="1"/>
  <c r="AB20" i="18" s="1"/>
  <c r="AB21" i="18" s="1"/>
  <c r="AB22" i="18" s="1"/>
  <c r="AB23" i="18" s="1"/>
  <c r="AB24" i="18" s="1"/>
  <c r="AB25" i="18" s="1"/>
  <c r="AB26" i="18" s="1"/>
  <c r="AE5" i="18"/>
  <c r="AE6" i="18" s="1"/>
  <c r="AE7" i="18" s="1"/>
  <c r="AE8" i="18" s="1"/>
  <c r="AE9" i="18" s="1"/>
  <c r="AE10" i="18" s="1"/>
  <c r="AE11" i="18" s="1"/>
  <c r="AE12" i="18" s="1"/>
  <c r="AE13" i="18" s="1"/>
  <c r="AE14" i="18" s="1"/>
  <c r="AE15" i="18" s="1"/>
  <c r="AE16" i="18" s="1"/>
  <c r="AE17" i="18" s="1"/>
  <c r="AE18" i="18" s="1"/>
  <c r="AE19" i="18" s="1"/>
  <c r="AE20" i="18" s="1"/>
  <c r="AE21" i="18" s="1"/>
  <c r="AE22" i="18" s="1"/>
  <c r="AE23" i="18" s="1"/>
  <c r="AE24" i="18" s="1"/>
  <c r="AE25" i="18" s="1"/>
  <c r="AE26" i="18" s="1"/>
  <c r="B19" i="12"/>
  <c r="AA7" i="19"/>
  <c r="AA8" i="19" s="1"/>
  <c r="AA9" i="19" s="1"/>
  <c r="AA10" i="19" s="1"/>
  <c r="AA11" i="19" s="1"/>
  <c r="AA12" i="19" s="1"/>
  <c r="AA13" i="19" s="1"/>
  <c r="AA14" i="19" s="1"/>
  <c r="AA15" i="19" s="1"/>
  <c r="AA16" i="19" s="1"/>
  <c r="AA17" i="19" s="1"/>
  <c r="AA18" i="19" s="1"/>
  <c r="AA19" i="19" s="1"/>
  <c r="AA20" i="19" s="1"/>
  <c r="AA21" i="19" s="1"/>
  <c r="AA22" i="19" s="1"/>
  <c r="AA23" i="19" s="1"/>
  <c r="AA24" i="19" s="1"/>
  <c r="AA25" i="19" s="1"/>
  <c r="AA26" i="19" s="1"/>
  <c r="AA27" i="19" s="1"/>
  <c r="AA28" i="19" s="1"/>
  <c r="AA29" i="19" s="1"/>
  <c r="AA30" i="19" s="1"/>
  <c r="H57" i="11"/>
  <c r="G57" i="11" s="1"/>
  <c r="B58" i="11"/>
  <c r="H129" i="11"/>
  <c r="J129" i="11" s="1"/>
  <c r="B130" i="11"/>
  <c r="J33" i="18"/>
  <c r="AD5" i="18" s="1"/>
  <c r="AD6" i="18" s="1"/>
  <c r="AD7" i="18" s="1"/>
  <c r="AD8" i="18" s="1"/>
  <c r="AD9" i="18" s="1"/>
  <c r="AD10" i="18" s="1"/>
  <c r="AD11" i="18" s="1"/>
  <c r="AD12" i="18" s="1"/>
  <c r="B201" i="11"/>
  <c r="H200" i="11"/>
  <c r="J200" i="11" s="1"/>
  <c r="B272" i="11"/>
  <c r="H271" i="11"/>
  <c r="J271" i="11" s="1"/>
  <c r="E338" i="11"/>
  <c r="C517" i="11"/>
  <c r="B124" i="8"/>
  <c r="F57" i="11" l="1"/>
  <c r="K19" i="12" s="1"/>
  <c r="B340" i="11"/>
  <c r="E339" i="11"/>
  <c r="E341" i="11"/>
  <c r="AR200" i="11"/>
  <c r="T200" i="11"/>
  <c r="I200" i="11"/>
  <c r="K200" i="11"/>
  <c r="AX200" i="11"/>
  <c r="AL200" i="11"/>
  <c r="Z200" i="11"/>
  <c r="AF200" i="11"/>
  <c r="I129" i="11"/>
  <c r="AX129" i="11"/>
  <c r="AL129" i="11"/>
  <c r="T129" i="11"/>
  <c r="K129" i="11"/>
  <c r="Z129" i="11"/>
  <c r="AF129" i="11"/>
  <c r="AR129" i="11"/>
  <c r="D19" i="12"/>
  <c r="G19" i="12" s="1"/>
  <c r="H19" i="12" s="1"/>
  <c r="F19" i="12"/>
  <c r="E19" i="12"/>
  <c r="B27" i="17"/>
  <c r="B20" i="12"/>
  <c r="B202" i="11"/>
  <c r="H201" i="11"/>
  <c r="J201" i="11" s="1"/>
  <c r="B59" i="11"/>
  <c r="H58" i="11"/>
  <c r="Z271" i="11"/>
  <c r="AR271" i="11"/>
  <c r="AL271" i="11"/>
  <c r="AX271" i="11"/>
  <c r="T271" i="11"/>
  <c r="AF271" i="11"/>
  <c r="I271" i="11"/>
  <c r="K271" i="11"/>
  <c r="B273" i="11"/>
  <c r="H272" i="11"/>
  <c r="J272" i="11" s="1"/>
  <c r="H130" i="11"/>
  <c r="J130" i="11" s="1"/>
  <c r="B131" i="11"/>
  <c r="B118" i="17"/>
  <c r="B125" i="8"/>
  <c r="C518" i="11"/>
  <c r="B341" i="11" l="1"/>
  <c r="B342" i="11" s="1"/>
  <c r="B343" i="11" s="1"/>
  <c r="B344" i="11" s="1"/>
  <c r="B345"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B381" i="11" s="1"/>
  <c r="B382" i="11" s="1"/>
  <c r="B383" i="11" s="1"/>
  <c r="B384" i="11" s="1"/>
  <c r="B385" i="11" s="1"/>
  <c r="B386" i="11" s="1"/>
  <c r="B387" i="11" s="1"/>
  <c r="B388" i="11" s="1"/>
  <c r="B389" i="11" s="1"/>
  <c r="B390" i="11" s="1"/>
  <c r="B391" i="11" s="1"/>
  <c r="B392" i="11" s="1"/>
  <c r="B393" i="11" s="1"/>
  <c r="E393" i="11" s="1"/>
  <c r="E340" i="11"/>
  <c r="J57" i="11"/>
  <c r="I57" i="11" s="1"/>
  <c r="M19" i="12"/>
  <c r="N19" i="12" s="1"/>
  <c r="T130" i="11"/>
  <c r="Z130" i="11"/>
  <c r="AX130" i="11"/>
  <c r="AR130" i="11"/>
  <c r="K130" i="11"/>
  <c r="AF130" i="11"/>
  <c r="AL130" i="11"/>
  <c r="B203" i="11"/>
  <c r="H202" i="11"/>
  <c r="J202" i="11" s="1"/>
  <c r="AL272" i="11"/>
  <c r="AF272" i="11"/>
  <c r="T272" i="11"/>
  <c r="AX272" i="11"/>
  <c r="Z272" i="11"/>
  <c r="AR272" i="11"/>
  <c r="K272" i="11"/>
  <c r="B119" i="17"/>
  <c r="B274" i="11"/>
  <c r="H273" i="11"/>
  <c r="J273" i="11" s="1"/>
  <c r="H11" i="19"/>
  <c r="D8" i="17" s="1"/>
  <c r="Y27" i="17" s="1"/>
  <c r="B60" i="11"/>
  <c r="H59" i="11"/>
  <c r="B132" i="11"/>
  <c r="H131" i="11"/>
  <c r="J131" i="11" s="1"/>
  <c r="AF201" i="11"/>
  <c r="AR201" i="11"/>
  <c r="T201" i="11"/>
  <c r="AL201" i="11"/>
  <c r="Z201" i="11"/>
  <c r="K201" i="11"/>
  <c r="AX201" i="11"/>
  <c r="B21" i="12"/>
  <c r="B28" i="17"/>
  <c r="F20" i="12"/>
  <c r="E20" i="12"/>
  <c r="D20" i="12"/>
  <c r="G20" i="12" s="1"/>
  <c r="H20" i="12" s="1"/>
  <c r="C519" i="11"/>
  <c r="B126" i="8"/>
  <c r="T57" i="11" l="1"/>
  <c r="Q19" i="12"/>
  <c r="E394" i="11"/>
  <c r="E396" i="11" s="1"/>
  <c r="F396" i="11" s="1"/>
  <c r="G396" i="11" s="1"/>
  <c r="AX57" i="11"/>
  <c r="K57" i="11"/>
  <c r="T19" i="12" s="1"/>
  <c r="AR57" i="11"/>
  <c r="AL57" i="11"/>
  <c r="Z57" i="11"/>
  <c r="S19" i="12"/>
  <c r="AF57" i="11"/>
  <c r="H27" i="17"/>
  <c r="H118" i="17"/>
  <c r="Y117" i="17"/>
  <c r="H117" i="17"/>
  <c r="Y118" i="17"/>
  <c r="B22" i="12"/>
  <c r="B29" i="17"/>
  <c r="F21" i="12"/>
  <c r="E21" i="12"/>
  <c r="D21" i="12"/>
  <c r="G21" i="12" s="1"/>
  <c r="H21" i="12" s="1"/>
  <c r="AX131" i="11"/>
  <c r="T131" i="11"/>
  <c r="AF131" i="11"/>
  <c r="K131" i="11"/>
  <c r="AR131" i="11"/>
  <c r="Z131" i="11"/>
  <c r="AL131" i="11"/>
  <c r="H119" i="17"/>
  <c r="Y119" i="17"/>
  <c r="B120" i="17"/>
  <c r="B133" i="11"/>
  <c r="H132" i="11"/>
  <c r="J132" i="11" s="1"/>
  <c r="AL273" i="11"/>
  <c r="AF273" i="11"/>
  <c r="K273" i="11"/>
  <c r="AX273" i="11"/>
  <c r="Z273" i="11"/>
  <c r="AR273" i="11"/>
  <c r="T273" i="11"/>
  <c r="M20" i="12"/>
  <c r="N20" i="12" s="1"/>
  <c r="H274" i="11"/>
  <c r="J274" i="11" s="1"/>
  <c r="B275" i="11"/>
  <c r="AF202" i="11"/>
  <c r="Z202" i="11"/>
  <c r="AX202" i="11"/>
  <c r="K202" i="11"/>
  <c r="AL202" i="11"/>
  <c r="T202" i="11"/>
  <c r="AR202" i="11"/>
  <c r="Y28" i="17"/>
  <c r="H28" i="17"/>
  <c r="B61" i="11"/>
  <c r="H60" i="11"/>
  <c r="H203" i="11"/>
  <c r="J203" i="11" s="1"/>
  <c r="B204" i="11"/>
  <c r="C520" i="11"/>
  <c r="B127" i="8"/>
  <c r="E395" i="11" l="1"/>
  <c r="F395" i="11" s="1"/>
  <c r="G395" i="11" s="1"/>
  <c r="H395" i="11" s="1"/>
  <c r="M21" i="12"/>
  <c r="N21" i="12" s="1"/>
  <c r="B205" i="11"/>
  <c r="H204" i="11"/>
  <c r="J204" i="11" s="1"/>
  <c r="B134" i="11"/>
  <c r="H133" i="11"/>
  <c r="J133" i="11" s="1"/>
  <c r="T203" i="11"/>
  <c r="AR203" i="11"/>
  <c r="AX203" i="11"/>
  <c r="AF203" i="11"/>
  <c r="Z203" i="11"/>
  <c r="AL203" i="11"/>
  <c r="K203" i="11"/>
  <c r="B276" i="11"/>
  <c r="H275" i="11"/>
  <c r="J275" i="11" s="1"/>
  <c r="Y120" i="17"/>
  <c r="H120" i="17"/>
  <c r="B121" i="17"/>
  <c r="Z274" i="11"/>
  <c r="AX274" i="11"/>
  <c r="T274" i="11"/>
  <c r="AF274" i="11"/>
  <c r="AR274" i="11"/>
  <c r="K274" i="11"/>
  <c r="AL274" i="11"/>
  <c r="Y29" i="17"/>
  <c r="H29" i="17"/>
  <c r="B62" i="11"/>
  <c r="H61" i="11"/>
  <c r="AL132" i="11"/>
  <c r="AX132" i="11"/>
  <c r="T132" i="11"/>
  <c r="AR132" i="11"/>
  <c r="AF132" i="11"/>
  <c r="Z132" i="11"/>
  <c r="K132" i="11"/>
  <c r="D22" i="12"/>
  <c r="G22" i="12" s="1"/>
  <c r="H22" i="12" s="1"/>
  <c r="F22" i="12"/>
  <c r="B30" i="17"/>
  <c r="E22" i="12"/>
  <c r="B23" i="12"/>
  <c r="C521" i="11"/>
  <c r="B128" i="8"/>
  <c r="M22" i="12" l="1"/>
  <c r="N22" i="12" s="1"/>
  <c r="H121" i="17"/>
  <c r="Y121" i="17"/>
  <c r="B122" i="17"/>
  <c r="B277" i="11"/>
  <c r="H276" i="11"/>
  <c r="J276" i="11" s="1"/>
  <c r="AR133" i="11"/>
  <c r="AX133" i="11"/>
  <c r="AF133" i="11"/>
  <c r="K133" i="11"/>
  <c r="AL133" i="11"/>
  <c r="T133" i="11"/>
  <c r="Z133" i="11"/>
  <c r="E23" i="12"/>
  <c r="B24" i="12"/>
  <c r="D23" i="12"/>
  <c r="G23" i="12" s="1"/>
  <c r="H23" i="12" s="1"/>
  <c r="F23" i="12"/>
  <c r="B31" i="17"/>
  <c r="B135" i="11"/>
  <c r="H134" i="11"/>
  <c r="J134" i="11" s="1"/>
  <c r="H62" i="11"/>
  <c r="B63" i="11"/>
  <c r="Z204" i="11"/>
  <c r="K204" i="11"/>
  <c r="T204" i="11"/>
  <c r="AX204" i="11"/>
  <c r="AL204" i="11"/>
  <c r="AF204" i="11"/>
  <c r="AR204" i="11"/>
  <c r="H30" i="17"/>
  <c r="Y30" i="17"/>
  <c r="K275" i="11"/>
  <c r="AF275" i="11"/>
  <c r="Z275" i="11"/>
  <c r="AL275" i="11"/>
  <c r="T275" i="11"/>
  <c r="AR275" i="11"/>
  <c r="AX275" i="11"/>
  <c r="B206" i="11"/>
  <c r="H205" i="11"/>
  <c r="J205" i="11" s="1"/>
  <c r="C522" i="11"/>
  <c r="B129" i="8"/>
  <c r="M23" i="12" l="1"/>
  <c r="N23" i="12" s="1"/>
  <c r="B278" i="11"/>
  <c r="H277" i="11"/>
  <c r="J277" i="11" s="1"/>
  <c r="T205" i="11"/>
  <c r="AF205" i="11"/>
  <c r="AL205" i="11"/>
  <c r="K205" i="11"/>
  <c r="AR205" i="11"/>
  <c r="AX205" i="11"/>
  <c r="Z205" i="11"/>
  <c r="T134" i="11"/>
  <c r="AL134" i="11"/>
  <c r="AR134" i="11"/>
  <c r="AX134" i="11"/>
  <c r="K134" i="11"/>
  <c r="Z134" i="11"/>
  <c r="AF134" i="11"/>
  <c r="B123" i="17"/>
  <c r="H122" i="17"/>
  <c r="Y122" i="17"/>
  <c r="B207" i="11"/>
  <c r="H206" i="11"/>
  <c r="J206" i="11" s="1"/>
  <c r="B136" i="11"/>
  <c r="H135" i="11"/>
  <c r="J135" i="11" s="1"/>
  <c r="B25" i="12"/>
  <c r="D24" i="12"/>
  <c r="G24" i="12" s="1"/>
  <c r="H24" i="12" s="1"/>
  <c r="B32" i="17"/>
  <c r="F24" i="12"/>
  <c r="E24" i="12"/>
  <c r="H63" i="11"/>
  <c r="B64" i="11"/>
  <c r="H31" i="17"/>
  <c r="Y31" i="17"/>
  <c r="K276" i="11"/>
  <c r="AF276" i="11"/>
  <c r="AX276" i="11"/>
  <c r="Z276" i="11"/>
  <c r="AR276" i="11"/>
  <c r="T276" i="11"/>
  <c r="AL276" i="11"/>
  <c r="C523" i="11"/>
  <c r="B130" i="8"/>
  <c r="M24" i="12" l="1"/>
  <c r="N24" i="12" s="1"/>
  <c r="B33" i="17"/>
  <c r="E25" i="12"/>
  <c r="B26" i="12"/>
  <c r="F25" i="12"/>
  <c r="D25" i="12"/>
  <c r="G25" i="12" s="1"/>
  <c r="H25" i="12" s="1"/>
  <c r="H207" i="11"/>
  <c r="J207" i="11" s="1"/>
  <c r="B208" i="11"/>
  <c r="AL135" i="11"/>
  <c r="AF135" i="11"/>
  <c r="T135" i="11"/>
  <c r="Z135" i="11"/>
  <c r="AR135" i="11"/>
  <c r="AX135" i="11"/>
  <c r="K135" i="11"/>
  <c r="B65" i="11"/>
  <c r="H64" i="11"/>
  <c r="H32" i="17"/>
  <c r="Y32" i="17"/>
  <c r="B137" i="11"/>
  <c r="H136" i="11"/>
  <c r="J136" i="11" s="1"/>
  <c r="T277" i="11"/>
  <c r="AR277" i="11"/>
  <c r="Z277" i="11"/>
  <c r="AL277" i="11"/>
  <c r="K277" i="11"/>
  <c r="AF277" i="11"/>
  <c r="AX277" i="11"/>
  <c r="AF206" i="11"/>
  <c r="T206" i="11"/>
  <c r="AL206" i="11"/>
  <c r="AX206" i="11"/>
  <c r="K206" i="11"/>
  <c r="AR206" i="11"/>
  <c r="Z206" i="11"/>
  <c r="H123" i="17"/>
  <c r="B124" i="17"/>
  <c r="Y123" i="17"/>
  <c r="H278" i="11"/>
  <c r="J278" i="11" s="1"/>
  <c r="B279" i="11"/>
  <c r="C524" i="11"/>
  <c r="B131" i="8"/>
  <c r="M25" i="12" l="1"/>
  <c r="N25" i="12" s="1"/>
  <c r="B125" i="17"/>
  <c r="Y124" i="17"/>
  <c r="H124" i="17"/>
  <c r="T136" i="11"/>
  <c r="AL136" i="11"/>
  <c r="Z136" i="11"/>
  <c r="AR136" i="11"/>
  <c r="AX136" i="11"/>
  <c r="K136" i="11"/>
  <c r="AF136" i="11"/>
  <c r="B280" i="11"/>
  <c r="H279" i="11"/>
  <c r="J279" i="11" s="1"/>
  <c r="B138" i="11"/>
  <c r="H137" i="11"/>
  <c r="J137" i="11" s="1"/>
  <c r="B66" i="11"/>
  <c r="H65" i="11"/>
  <c r="H208" i="11"/>
  <c r="J208" i="11" s="1"/>
  <c r="B209" i="11"/>
  <c r="B27" i="12"/>
  <c r="F26" i="12"/>
  <c r="B34" i="17"/>
  <c r="D26" i="12"/>
  <c r="G26" i="12" s="1"/>
  <c r="H26" i="12" s="1"/>
  <c r="E26" i="12"/>
  <c r="AX278" i="11"/>
  <c r="AL278" i="11"/>
  <c r="AF278" i="11"/>
  <c r="AR278" i="11"/>
  <c r="K278" i="11"/>
  <c r="Z278" i="11"/>
  <c r="T278" i="11"/>
  <c r="Z207" i="11"/>
  <c r="AF207" i="11"/>
  <c r="AR207" i="11"/>
  <c r="AX207" i="11"/>
  <c r="T207" i="11"/>
  <c r="K207" i="11"/>
  <c r="AL207" i="11"/>
  <c r="H33" i="17"/>
  <c r="Y33" i="17"/>
  <c r="C525" i="11"/>
  <c r="B132" i="8"/>
  <c r="M26" i="12" l="1"/>
  <c r="N26" i="12" s="1"/>
  <c r="K279" i="11"/>
  <c r="AR279" i="11"/>
  <c r="Z279" i="11"/>
  <c r="AL279" i="11"/>
  <c r="AF279" i="11"/>
  <c r="AX279" i="11"/>
  <c r="T279" i="11"/>
  <c r="B35" i="17"/>
  <c r="B28" i="12"/>
  <c r="E27" i="12"/>
  <c r="D27" i="12"/>
  <c r="G27" i="12" s="1"/>
  <c r="H27" i="12" s="1"/>
  <c r="F27" i="12"/>
  <c r="B67" i="11"/>
  <c r="H66" i="11"/>
  <c r="H280" i="11"/>
  <c r="J280" i="11" s="1"/>
  <c r="B281" i="11"/>
  <c r="B210" i="11"/>
  <c r="H209" i="11"/>
  <c r="J209" i="11" s="1"/>
  <c r="Z137" i="11"/>
  <c r="AL137" i="11"/>
  <c r="T137" i="11"/>
  <c r="AX137" i="11"/>
  <c r="K137" i="11"/>
  <c r="AR137" i="11"/>
  <c r="AF137" i="11"/>
  <c r="Y34" i="17"/>
  <c r="H34" i="17"/>
  <c r="AF208" i="11"/>
  <c r="T208" i="11"/>
  <c r="AX208" i="11"/>
  <c r="K208" i="11"/>
  <c r="AR208" i="11"/>
  <c r="AL208" i="11"/>
  <c r="Z208" i="11"/>
  <c r="H138" i="11"/>
  <c r="J138" i="11" s="1"/>
  <c r="B139" i="11"/>
  <c r="H125" i="17"/>
  <c r="Y125" i="17"/>
  <c r="B126" i="17"/>
  <c r="B133" i="8"/>
  <c r="C526" i="11"/>
  <c r="M27" i="12" l="1"/>
  <c r="N27" i="12" s="1"/>
  <c r="B140" i="11"/>
  <c r="H139" i="11"/>
  <c r="J139" i="11" s="1"/>
  <c r="B282" i="11"/>
  <c r="H281" i="11"/>
  <c r="J281" i="11" s="1"/>
  <c r="H35" i="17"/>
  <c r="Y35" i="17"/>
  <c r="Y126" i="17"/>
  <c r="H126" i="17"/>
  <c r="B127" i="17"/>
  <c r="AL138" i="11"/>
  <c r="T138" i="11"/>
  <c r="K138" i="11"/>
  <c r="AR138" i="11"/>
  <c r="AF138" i="11"/>
  <c r="Z138" i="11"/>
  <c r="AX138" i="11"/>
  <c r="AX280" i="11"/>
  <c r="AF280" i="11"/>
  <c r="T280" i="11"/>
  <c r="K280" i="11"/>
  <c r="AL280" i="11"/>
  <c r="Z280" i="11"/>
  <c r="AR280" i="11"/>
  <c r="Z209" i="11"/>
  <c r="K209" i="11"/>
  <c r="AL209" i="11"/>
  <c r="AR209" i="11"/>
  <c r="T209" i="11"/>
  <c r="AF209" i="11"/>
  <c r="AX209" i="11"/>
  <c r="B211" i="11"/>
  <c r="H210" i="11"/>
  <c r="J210" i="11" s="1"/>
  <c r="B68" i="11"/>
  <c r="H67" i="11"/>
  <c r="B29" i="12"/>
  <c r="E28" i="12"/>
  <c r="D28" i="12"/>
  <c r="G28" i="12" s="1"/>
  <c r="H28" i="12" s="1"/>
  <c r="B36" i="17"/>
  <c r="F28" i="12"/>
  <c r="C527" i="11"/>
  <c r="B134" i="8"/>
  <c r="M28" i="12" l="1"/>
  <c r="N28" i="12" s="1"/>
  <c r="Z210" i="11"/>
  <c r="AF210" i="11"/>
  <c r="T210" i="11"/>
  <c r="AL210" i="11"/>
  <c r="K210" i="11"/>
  <c r="AR210" i="11"/>
  <c r="AX210" i="11"/>
  <c r="AR281" i="11"/>
  <c r="AL281" i="11"/>
  <c r="AF281" i="11"/>
  <c r="K281" i="11"/>
  <c r="Z281" i="11"/>
  <c r="AX281" i="11"/>
  <c r="T281" i="11"/>
  <c r="F29" i="12"/>
  <c r="B30" i="12"/>
  <c r="B37" i="17"/>
  <c r="E29" i="12"/>
  <c r="D29" i="12"/>
  <c r="G29" i="12" s="1"/>
  <c r="H29" i="12" s="1"/>
  <c r="H211" i="11"/>
  <c r="J211" i="11" s="1"/>
  <c r="B212" i="11"/>
  <c r="B283" i="11"/>
  <c r="H282" i="11"/>
  <c r="J282" i="11" s="1"/>
  <c r="Y36" i="17"/>
  <c r="H36" i="17"/>
  <c r="K139" i="11"/>
  <c r="Z139" i="11"/>
  <c r="AR139" i="11"/>
  <c r="AL139" i="11"/>
  <c r="AX139" i="11"/>
  <c r="T139" i="11"/>
  <c r="AF139" i="11"/>
  <c r="H68" i="11"/>
  <c r="B69" i="11"/>
  <c r="Y127" i="17"/>
  <c r="H127" i="17"/>
  <c r="B128" i="17"/>
  <c r="B141" i="11"/>
  <c r="H140" i="11"/>
  <c r="J140" i="11" s="1"/>
  <c r="C528" i="11"/>
  <c r="B135" i="8"/>
  <c r="M29" i="12" l="1"/>
  <c r="N29" i="12" s="1"/>
  <c r="AX211" i="11"/>
  <c r="AF211" i="11"/>
  <c r="K211" i="11"/>
  <c r="Z211" i="11"/>
  <c r="AR211" i="11"/>
  <c r="AL211" i="11"/>
  <c r="T211" i="11"/>
  <c r="E30" i="12"/>
  <c r="B38" i="17"/>
  <c r="F30" i="12"/>
  <c r="D30" i="12"/>
  <c r="G30" i="12" s="1"/>
  <c r="H30" i="12" s="1"/>
  <c r="B31" i="12"/>
  <c r="AL140" i="11"/>
  <c r="K140" i="11"/>
  <c r="AF140" i="11"/>
  <c r="AX140" i="11"/>
  <c r="Z140" i="11"/>
  <c r="T140" i="11"/>
  <c r="AR140" i="11"/>
  <c r="Z282" i="11"/>
  <c r="T282" i="11"/>
  <c r="AL282" i="11"/>
  <c r="K282" i="11"/>
  <c r="AF282" i="11"/>
  <c r="AX282" i="11"/>
  <c r="AR282" i="11"/>
  <c r="B142" i="11"/>
  <c r="H141" i="11"/>
  <c r="J141" i="11" s="1"/>
  <c r="B70" i="11"/>
  <c r="H69" i="11"/>
  <c r="B284" i="11"/>
  <c r="H283" i="11"/>
  <c r="J283" i="11" s="1"/>
  <c r="H128" i="17"/>
  <c r="Y128" i="17"/>
  <c r="B129" i="17"/>
  <c r="B213" i="11"/>
  <c r="H212" i="11"/>
  <c r="J212" i="11" s="1"/>
  <c r="Y37" i="17"/>
  <c r="H37" i="17"/>
  <c r="C529" i="11"/>
  <c r="B136" i="8"/>
  <c r="M30" i="12" l="1"/>
  <c r="N30" i="12" s="1"/>
  <c r="B214" i="11"/>
  <c r="H213" i="11"/>
  <c r="J213" i="11" s="1"/>
  <c r="AX283" i="11"/>
  <c r="K283" i="11"/>
  <c r="AL283" i="11"/>
  <c r="AF283" i="11"/>
  <c r="T283" i="11"/>
  <c r="AR283" i="11"/>
  <c r="Z283" i="11"/>
  <c r="AF141" i="11"/>
  <c r="AL141" i="11"/>
  <c r="T141" i="11"/>
  <c r="K141" i="11"/>
  <c r="AX141" i="11"/>
  <c r="AR141" i="11"/>
  <c r="Z141" i="11"/>
  <c r="D31" i="12"/>
  <c r="G31" i="12" s="1"/>
  <c r="H31" i="12" s="1"/>
  <c r="B39" i="17"/>
  <c r="E31" i="12"/>
  <c r="F31" i="12"/>
  <c r="B32" i="12"/>
  <c r="B130" i="17"/>
  <c r="Y129" i="17"/>
  <c r="H129" i="17"/>
  <c r="B285" i="11"/>
  <c r="H284" i="11"/>
  <c r="J284" i="11" s="1"/>
  <c r="B143" i="11"/>
  <c r="H142" i="11"/>
  <c r="J142" i="11" s="1"/>
  <c r="AF212" i="11"/>
  <c r="AX212" i="11"/>
  <c r="AR212" i="11"/>
  <c r="T212" i="11"/>
  <c r="Z212" i="11"/>
  <c r="K212" i="11"/>
  <c r="AL212" i="11"/>
  <c r="H70" i="11"/>
  <c r="B71" i="11"/>
  <c r="Y38" i="17"/>
  <c r="H38" i="17"/>
  <c r="C530" i="11"/>
  <c r="B137" i="8"/>
  <c r="M31" i="12" l="1"/>
  <c r="N31" i="12" s="1"/>
  <c r="AL142" i="11"/>
  <c r="AR142" i="11"/>
  <c r="T142" i="11"/>
  <c r="AF142" i="11"/>
  <c r="Z142" i="11"/>
  <c r="K142" i="11"/>
  <c r="AX142" i="11"/>
  <c r="B144" i="11"/>
  <c r="H143" i="11"/>
  <c r="J143" i="11" s="1"/>
  <c r="AR284" i="11"/>
  <c r="AF284" i="11"/>
  <c r="AX284" i="11"/>
  <c r="Z284" i="11"/>
  <c r="K284" i="11"/>
  <c r="AL284" i="11"/>
  <c r="T284" i="11"/>
  <c r="H130" i="17"/>
  <c r="Y130" i="17"/>
  <c r="B131" i="17"/>
  <c r="H39" i="17"/>
  <c r="Y39" i="17"/>
  <c r="T213" i="11"/>
  <c r="AF213" i="11"/>
  <c r="AL213" i="11"/>
  <c r="K213" i="11"/>
  <c r="AX213" i="11"/>
  <c r="AR213" i="11"/>
  <c r="Z213" i="11"/>
  <c r="H71" i="11"/>
  <c r="B72" i="11"/>
  <c r="B286" i="11"/>
  <c r="H285" i="11"/>
  <c r="J285" i="11" s="1"/>
  <c r="E32" i="12"/>
  <c r="F32" i="12"/>
  <c r="D32" i="12"/>
  <c r="G32" i="12" s="1"/>
  <c r="H32" i="12" s="1"/>
  <c r="B40" i="17"/>
  <c r="B33" i="12"/>
  <c r="B215" i="11"/>
  <c r="H214" i="11"/>
  <c r="J214" i="11" s="1"/>
  <c r="C531" i="11"/>
  <c r="B138" i="8"/>
  <c r="M32" i="12" l="1"/>
  <c r="N32" i="12" s="1"/>
  <c r="AR214" i="11"/>
  <c r="T214" i="11"/>
  <c r="AL214" i="11"/>
  <c r="AX214" i="11"/>
  <c r="K214" i="11"/>
  <c r="Z214" i="11"/>
  <c r="AF214" i="11"/>
  <c r="B287" i="11"/>
  <c r="H286" i="11"/>
  <c r="J286" i="11" s="1"/>
  <c r="B132" i="17"/>
  <c r="Y131" i="17"/>
  <c r="H131" i="17"/>
  <c r="B216" i="11"/>
  <c r="H215" i="11"/>
  <c r="J215" i="11" s="1"/>
  <c r="B73" i="11"/>
  <c r="H72" i="11"/>
  <c r="D33" i="12"/>
  <c r="G33" i="12" s="1"/>
  <c r="H33" i="12" s="1"/>
  <c r="B41" i="17"/>
  <c r="E33" i="12"/>
  <c r="F33" i="12"/>
  <c r="B34" i="12"/>
  <c r="K143" i="11"/>
  <c r="AX143" i="11"/>
  <c r="AL143" i="11"/>
  <c r="T143" i="11"/>
  <c r="AR143" i="11"/>
  <c r="Z143" i="11"/>
  <c r="AF143" i="11"/>
  <c r="Y40" i="17"/>
  <c r="H40" i="17"/>
  <c r="T285" i="11"/>
  <c r="AF285" i="11"/>
  <c r="AR285" i="11"/>
  <c r="AL285" i="11"/>
  <c r="K285" i="11"/>
  <c r="Z285" i="11"/>
  <c r="AX285" i="11"/>
  <c r="B145" i="11"/>
  <c r="H144" i="11"/>
  <c r="J144" i="11" s="1"/>
  <c r="C532" i="11"/>
  <c r="B139" i="8"/>
  <c r="M33" i="12" l="1"/>
  <c r="N33" i="12" s="1"/>
  <c r="B288" i="11"/>
  <c r="H287" i="11"/>
  <c r="J287" i="11" s="1"/>
  <c r="AR144" i="11"/>
  <c r="T144" i="11"/>
  <c r="AX144" i="11"/>
  <c r="K144" i="11"/>
  <c r="Z144" i="11"/>
  <c r="AF144" i="11"/>
  <c r="AL144" i="11"/>
  <c r="B74" i="1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H73" i="11"/>
  <c r="H145" i="11"/>
  <c r="J145" i="11" s="1"/>
  <c r="B146" i="11"/>
  <c r="H41" i="17"/>
  <c r="Y41" i="17"/>
  <c r="AX215" i="11"/>
  <c r="AR215" i="11"/>
  <c r="Z215" i="11"/>
  <c r="AL215" i="11"/>
  <c r="K215" i="11"/>
  <c r="T215" i="11"/>
  <c r="AF215" i="11"/>
  <c r="H132" i="17"/>
  <c r="Y132" i="17"/>
  <c r="B133" i="17"/>
  <c r="B35" i="12"/>
  <c r="E34" i="12"/>
  <c r="D34" i="12"/>
  <c r="G34" i="12" s="1"/>
  <c r="H34" i="12" s="1"/>
  <c r="F34" i="12"/>
  <c r="B42" i="17"/>
  <c r="B217" i="11"/>
  <c r="H216" i="11"/>
  <c r="J216" i="11" s="1"/>
  <c r="Z286" i="11"/>
  <c r="T286" i="11"/>
  <c r="AF286" i="11"/>
  <c r="AR286" i="11"/>
  <c r="K286" i="11"/>
  <c r="AL286" i="11"/>
  <c r="AX286" i="11"/>
  <c r="C533" i="11"/>
  <c r="B140" i="8"/>
  <c r="M34" i="12" l="1"/>
  <c r="N34" i="12" s="1"/>
  <c r="B218" i="1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H217" i="11"/>
  <c r="J217" i="11" s="1"/>
  <c r="Y42" i="17"/>
  <c r="H42" i="17"/>
  <c r="E35" i="12"/>
  <c r="D35" i="12"/>
  <c r="G35" i="12" s="1"/>
  <c r="H35" i="12" s="1"/>
  <c r="F35" i="12"/>
  <c r="B36" i="12"/>
  <c r="B43" i="17"/>
  <c r="AL287" i="11"/>
  <c r="T287" i="11"/>
  <c r="AX287" i="11"/>
  <c r="AF287" i="11"/>
  <c r="K287" i="11"/>
  <c r="Z287" i="11"/>
  <c r="AR287" i="11"/>
  <c r="B134" i="17"/>
  <c r="H133" i="17"/>
  <c r="Y133" i="17"/>
  <c r="H146" i="11"/>
  <c r="J146" i="11" s="1"/>
  <c r="B147" i="11"/>
  <c r="B148" i="11" s="1"/>
  <c r="B149" i="11" s="1"/>
  <c r="B150" i="11" s="1"/>
  <c r="B151" i="11" s="1"/>
  <c r="B152" i="11" s="1"/>
  <c r="B153" i="11" s="1"/>
  <c r="B154" i="11" s="1"/>
  <c r="B155" i="11" s="1"/>
  <c r="B156" i="11" s="1"/>
  <c r="B157" i="11" s="1"/>
  <c r="B158" i="11" s="1"/>
  <c r="B159" i="11" s="1"/>
  <c r="B160" i="11" s="1"/>
  <c r="B161" i="11" s="1"/>
  <c r="B162" i="11" s="1"/>
  <c r="B163" i="11" s="1"/>
  <c r="B164" i="11" s="1"/>
  <c r="B165" i="11" s="1"/>
  <c r="B166" i="11" s="1"/>
  <c r="B167" i="11" s="1"/>
  <c r="B168" i="11" s="1"/>
  <c r="B169" i="11" s="1"/>
  <c r="B170" i="11" s="1"/>
  <c r="B171" i="11" s="1"/>
  <c r="B172" i="11" s="1"/>
  <c r="B173" i="11" s="1"/>
  <c r="B174" i="11" s="1"/>
  <c r="B175" i="11" s="1"/>
  <c r="B176" i="11" s="1"/>
  <c r="B177" i="11" s="1"/>
  <c r="B289" i="11"/>
  <c r="B290" i="11" s="1"/>
  <c r="B291"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H288" i="11"/>
  <c r="J288" i="11" s="1"/>
  <c r="AR216" i="11"/>
  <c r="Z216" i="11"/>
  <c r="T216" i="11"/>
  <c r="AX216" i="11"/>
  <c r="AF216" i="11"/>
  <c r="AL216" i="11"/>
  <c r="K216" i="11"/>
  <c r="K145" i="11"/>
  <c r="AL145" i="11"/>
  <c r="AF145" i="11"/>
  <c r="T145" i="11"/>
  <c r="AX145" i="11"/>
  <c r="AR145" i="11"/>
  <c r="Z145" i="11"/>
  <c r="B105" i="11"/>
  <c r="B141" i="8"/>
  <c r="C534" i="11"/>
  <c r="M35" i="12" l="1"/>
  <c r="N35" i="12" s="1"/>
  <c r="Z288" i="11"/>
  <c r="AL288" i="11"/>
  <c r="AX288" i="11"/>
  <c r="K288" i="11"/>
  <c r="AF288" i="11"/>
  <c r="T288" i="11"/>
  <c r="AR288" i="11"/>
  <c r="AR217" i="11"/>
  <c r="T217" i="11"/>
  <c r="K217" i="11"/>
  <c r="Z217" i="11"/>
  <c r="AF217" i="11"/>
  <c r="AX217" i="11"/>
  <c r="AL217" i="11"/>
  <c r="B135" i="17"/>
  <c r="H134" i="17"/>
  <c r="Y134" i="17"/>
  <c r="H43" i="17"/>
  <c r="Y43" i="17"/>
  <c r="T146" i="11"/>
  <c r="AF146" i="11"/>
  <c r="K146" i="11"/>
  <c r="Z146" i="11"/>
  <c r="AX146" i="11"/>
  <c r="AL146" i="11"/>
  <c r="AR146" i="11"/>
  <c r="B44" i="17"/>
  <c r="D36" i="12"/>
  <c r="G36" i="12" s="1"/>
  <c r="H36" i="12" s="1"/>
  <c r="F36" i="12"/>
  <c r="E36" i="12"/>
  <c r="B37" i="12"/>
  <c r="B249" i="11"/>
  <c r="B320" i="11"/>
  <c r="C535" i="11"/>
  <c r="B142" i="8"/>
  <c r="B106" i="11"/>
  <c r="B178" i="11"/>
  <c r="M36" i="12" l="1"/>
  <c r="N36" i="12" s="1"/>
  <c r="F37" i="12"/>
  <c r="B38" i="12"/>
  <c r="D37" i="12"/>
  <c r="G37" i="12" s="1"/>
  <c r="H37" i="12" s="1"/>
  <c r="E37" i="12"/>
  <c r="B45" i="17"/>
  <c r="Y44" i="17"/>
  <c r="H44" i="17"/>
  <c r="B136" i="17"/>
  <c r="H135" i="17"/>
  <c r="Y135" i="17"/>
  <c r="C536" i="11"/>
  <c r="B143" i="8"/>
  <c r="B250" i="11"/>
  <c r="B107" i="11"/>
  <c r="B321" i="11"/>
  <c r="B179" i="11"/>
  <c r="M37" i="12" l="1"/>
  <c r="N37" i="12" s="1"/>
  <c r="H136" i="17"/>
  <c r="Y136" i="17"/>
  <c r="B137" i="17"/>
  <c r="E38" i="12"/>
  <c r="B46" i="17"/>
  <c r="F38" i="12"/>
  <c r="B39" i="12"/>
  <c r="D38" i="12"/>
  <c r="G38" i="12" s="1"/>
  <c r="H38" i="12" s="1"/>
  <c r="Y45" i="17"/>
  <c r="H45" i="17"/>
  <c r="B322" i="11"/>
  <c r="B251" i="11"/>
  <c r="C537" i="11"/>
  <c r="B144" i="8"/>
  <c r="B180" i="11"/>
  <c r="B108" i="11"/>
  <c r="M38" i="12" l="1"/>
  <c r="N38" i="12" s="1"/>
  <c r="B47" i="17"/>
  <c r="F39" i="12"/>
  <c r="D39" i="12"/>
  <c r="G39" i="12" s="1"/>
  <c r="H39" i="12" s="1"/>
  <c r="B40" i="12"/>
  <c r="E39" i="12"/>
  <c r="Y137" i="17"/>
  <c r="B138" i="17"/>
  <c r="H137" i="17"/>
  <c r="Y46" i="17"/>
  <c r="H46" i="17"/>
  <c r="B323" i="11"/>
  <c r="B181" i="11"/>
  <c r="B109" i="11"/>
  <c r="C538" i="11"/>
  <c r="B145" i="8"/>
  <c r="B252" i="11"/>
  <c r="M39" i="12" l="1"/>
  <c r="N39" i="12" s="1"/>
  <c r="D40" i="12"/>
  <c r="G40" i="12" s="1"/>
  <c r="H40" i="12" s="1"/>
  <c r="F40" i="12"/>
  <c r="B41" i="12"/>
  <c r="B48" i="17"/>
  <c r="E40" i="12"/>
  <c r="H138" i="17"/>
  <c r="B139" i="17"/>
  <c r="Y138" i="17"/>
  <c r="Y47" i="17"/>
  <c r="H47" i="17"/>
  <c r="C539" i="11"/>
  <c r="B146" i="8"/>
  <c r="B253" i="11"/>
  <c r="B182" i="11"/>
  <c r="B110" i="11"/>
  <c r="B324" i="11"/>
  <c r="M40" i="12" l="1"/>
  <c r="N40" i="12" s="1"/>
  <c r="Y48" i="17"/>
  <c r="H48" i="17"/>
  <c r="H139" i="17"/>
  <c r="B140" i="17"/>
  <c r="Y139" i="17"/>
  <c r="F41" i="12"/>
  <c r="D41" i="12"/>
  <c r="G41" i="12" s="1"/>
  <c r="H41" i="12" s="1"/>
  <c r="B42" i="12"/>
  <c r="B49" i="17"/>
  <c r="E41" i="12"/>
  <c r="B111" i="11"/>
  <c r="B254" i="11"/>
  <c r="C540" i="11"/>
  <c r="B147" i="8"/>
  <c r="B325" i="11"/>
  <c r="B183" i="11"/>
  <c r="M41" i="12" l="1"/>
  <c r="N41" i="12" s="1"/>
  <c r="B43" i="12"/>
  <c r="F42" i="12"/>
  <c r="D42" i="12"/>
  <c r="G42" i="12" s="1"/>
  <c r="H42" i="12" s="1"/>
  <c r="E42" i="12"/>
  <c r="B50" i="17"/>
  <c r="B141" i="17"/>
  <c r="Y140" i="17"/>
  <c r="H140" i="17"/>
  <c r="H49" i="17"/>
  <c r="Y49" i="17"/>
  <c r="C541" i="11"/>
  <c r="B148" i="8"/>
  <c r="B112" i="11"/>
  <c r="B326" i="11"/>
  <c r="B184" i="11"/>
  <c r="B255" i="11"/>
  <c r="M42" i="12" l="1"/>
  <c r="N42" i="12" s="1"/>
  <c r="H141" i="17"/>
  <c r="Y141" i="17"/>
  <c r="B142" i="17"/>
  <c r="Y50" i="17"/>
  <c r="H50" i="17"/>
  <c r="F43" i="12"/>
  <c r="D43" i="12"/>
  <c r="G43" i="12" s="1"/>
  <c r="H43" i="12" s="1"/>
  <c r="B44" i="12"/>
  <c r="B51" i="17"/>
  <c r="E43" i="12"/>
  <c r="B185" i="11"/>
  <c r="B113" i="11"/>
  <c r="B149" i="8"/>
  <c r="C542" i="11"/>
  <c r="B256" i="11"/>
  <c r="B327" i="11"/>
  <c r="M43" i="12" l="1"/>
  <c r="N43" i="12" s="1"/>
  <c r="B52" i="17"/>
  <c r="F44" i="12"/>
  <c r="E44" i="12"/>
  <c r="B45" i="12"/>
  <c r="D44" i="12"/>
  <c r="G44" i="12" s="1"/>
  <c r="H44" i="12" s="1"/>
  <c r="Y142" i="17"/>
  <c r="H142" i="17"/>
  <c r="B143" i="17"/>
  <c r="Y51" i="17"/>
  <c r="H51" i="17"/>
  <c r="B186" i="11"/>
  <c r="B114" i="11"/>
  <c r="B328" i="11"/>
  <c r="C543" i="11"/>
  <c r="B150" i="8"/>
  <c r="B257" i="11"/>
  <c r="M44" i="12" l="1"/>
  <c r="N44" i="12" s="1"/>
  <c r="B144" i="17"/>
  <c r="Y143" i="17"/>
  <c r="H143" i="17"/>
  <c r="B53" i="17"/>
  <c r="F45" i="12"/>
  <c r="B46" i="12"/>
  <c r="D45" i="12"/>
  <c r="G45" i="12" s="1"/>
  <c r="H45" i="12" s="1"/>
  <c r="E45" i="12"/>
  <c r="Y52" i="17"/>
  <c r="H52" i="17"/>
  <c r="B258" i="11"/>
  <c r="B329" i="11"/>
  <c r="B115" i="11"/>
  <c r="B187" i="11"/>
  <c r="C544" i="11"/>
  <c r="B151" i="8"/>
  <c r="M45" i="12" l="1"/>
  <c r="N45" i="12" s="1"/>
  <c r="B54" i="17"/>
  <c r="D46" i="12"/>
  <c r="G46" i="12" s="1"/>
  <c r="H46" i="12" s="1"/>
  <c r="E46" i="12"/>
  <c r="B47" i="12"/>
  <c r="F46" i="12"/>
  <c r="H53" i="17"/>
  <c r="Y53" i="17"/>
  <c r="B145" i="17"/>
  <c r="H144" i="17"/>
  <c r="Y144" i="17"/>
  <c r="B116" i="11"/>
  <c r="C545" i="11"/>
  <c r="B152" i="8"/>
  <c r="B188" i="11"/>
  <c r="B330" i="11"/>
  <c r="B259" i="11"/>
  <c r="M46" i="12" l="1"/>
  <c r="N46" i="12" s="1"/>
  <c r="D47" i="12"/>
  <c r="G47" i="12" s="1"/>
  <c r="H47" i="12" s="1"/>
  <c r="B55" i="17"/>
  <c r="E47" i="12"/>
  <c r="B48" i="12"/>
  <c r="F47" i="12"/>
  <c r="H145" i="17"/>
  <c r="Y145" i="17"/>
  <c r="B146" i="17"/>
  <c r="H54" i="17"/>
  <c r="Y54" i="17"/>
  <c r="C546" i="11"/>
  <c r="B153" i="8"/>
  <c r="M47" i="12" l="1"/>
  <c r="N47" i="12" s="1"/>
  <c r="Y146" i="17"/>
  <c r="H146" i="17"/>
  <c r="B147" i="17"/>
  <c r="Y55" i="17"/>
  <c r="H55" i="17"/>
  <c r="B49" i="12"/>
  <c r="D48" i="12"/>
  <c r="G48" i="12" s="1"/>
  <c r="H48" i="12" s="1"/>
  <c r="E48" i="12"/>
  <c r="B56" i="17"/>
  <c r="F48" i="12"/>
  <c r="C547" i="11"/>
  <c r="B154" i="8"/>
  <c r="M48" i="12" l="1"/>
  <c r="N48" i="12" s="1"/>
  <c r="E49" i="12"/>
  <c r="B50" i="12"/>
  <c r="F49" i="12"/>
  <c r="B57" i="17"/>
  <c r="D49" i="12"/>
  <c r="G49" i="12" s="1"/>
  <c r="H49" i="12" s="1"/>
  <c r="H147" i="17"/>
  <c r="Y147" i="17"/>
  <c r="B148" i="17"/>
  <c r="Y56" i="17"/>
  <c r="H56" i="17"/>
  <c r="C548" i="11"/>
  <c r="B155" i="8"/>
  <c r="M49" i="12" l="1"/>
  <c r="N49" i="12" s="1"/>
  <c r="Y57" i="17"/>
  <c r="H57" i="17"/>
  <c r="D50" i="12"/>
  <c r="G50" i="12" s="1"/>
  <c r="H50" i="12" s="1"/>
  <c r="F50" i="12"/>
  <c r="E50" i="12"/>
  <c r="B51" i="12"/>
  <c r="B58" i="17"/>
  <c r="B149" i="17"/>
  <c r="H148" i="17"/>
  <c r="Y148" i="17"/>
  <c r="C549" i="11"/>
  <c r="B156" i="8"/>
  <c r="M50" i="12" l="1"/>
  <c r="N50" i="12" s="1"/>
  <c r="B150" i="17"/>
  <c r="Y149" i="17"/>
  <c r="H149" i="17"/>
  <c r="Y58" i="17"/>
  <c r="H58" i="17"/>
  <c r="D51" i="12"/>
  <c r="G51" i="12" s="1"/>
  <c r="H51" i="12" s="1"/>
  <c r="F51" i="12"/>
  <c r="B52" i="12"/>
  <c r="E51" i="12"/>
  <c r="B59" i="17"/>
  <c r="L19" i="12"/>
  <c r="B157" i="8"/>
  <c r="C550" i="11"/>
  <c r="M51" i="12" l="1"/>
  <c r="N51" i="12" s="1"/>
  <c r="E52" i="12"/>
  <c r="B60" i="17"/>
  <c r="D52" i="12"/>
  <c r="G52" i="12" s="1"/>
  <c r="H52" i="12" s="1"/>
  <c r="F52" i="12"/>
  <c r="B53" i="12"/>
  <c r="H59" i="17"/>
  <c r="Y59" i="17"/>
  <c r="Y150" i="17"/>
  <c r="B151" i="17"/>
  <c r="H150" i="17"/>
  <c r="C551" i="11"/>
  <c r="H74" i="11" s="1"/>
  <c r="B158" i="8"/>
  <c r="M52" i="12" l="1"/>
  <c r="N52" i="12" s="1"/>
  <c r="H60" i="17"/>
  <c r="Y60" i="17"/>
  <c r="B152" i="17"/>
  <c r="H151" i="17"/>
  <c r="Y151" i="17"/>
  <c r="B61" i="17"/>
  <c r="E53" i="12"/>
  <c r="B54" i="12"/>
  <c r="F53" i="12"/>
  <c r="D53" i="12"/>
  <c r="G53" i="12" s="1"/>
  <c r="H53" i="12" s="1"/>
  <c r="H76" i="11"/>
  <c r="H75"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C552" i="11"/>
  <c r="B159" i="8"/>
  <c r="F116" i="11" l="1"/>
  <c r="K78" i="12" s="1"/>
  <c r="M53" i="12"/>
  <c r="N53" i="12" s="1"/>
  <c r="Y61" i="17"/>
  <c r="H61" i="17"/>
  <c r="E54" i="12"/>
  <c r="F54" i="12"/>
  <c r="B62" i="17"/>
  <c r="B55" i="12"/>
  <c r="D54" i="12"/>
  <c r="G54" i="12" s="1"/>
  <c r="H54" i="12" s="1"/>
  <c r="Y152" i="17"/>
  <c r="H152" i="17"/>
  <c r="B153" i="17"/>
  <c r="J116" i="11"/>
  <c r="F113" i="11"/>
  <c r="F115" i="11"/>
  <c r="F74" i="11"/>
  <c r="K36" i="12" s="1"/>
  <c r="F109" i="11"/>
  <c r="F105" i="11"/>
  <c r="F101" i="11"/>
  <c r="K63" i="12" s="1"/>
  <c r="F97" i="11"/>
  <c r="F93" i="11"/>
  <c r="F89" i="11"/>
  <c r="F85" i="11"/>
  <c r="K47" i="12" s="1"/>
  <c r="F81" i="11"/>
  <c r="K43" i="12" s="1"/>
  <c r="F77" i="11"/>
  <c r="K39" i="12" s="1"/>
  <c r="F71" i="11"/>
  <c r="K33" i="12" s="1"/>
  <c r="F59" i="11"/>
  <c r="K21" i="12" s="1"/>
  <c r="F66" i="11"/>
  <c r="K28" i="12" s="1"/>
  <c r="F112" i="11"/>
  <c r="K74" i="12" s="1"/>
  <c r="F108" i="11"/>
  <c r="F104" i="11"/>
  <c r="K66" i="12" s="1"/>
  <c r="F100" i="11"/>
  <c r="F96" i="11"/>
  <c r="K58" i="12" s="1"/>
  <c r="F92" i="11"/>
  <c r="F88" i="11"/>
  <c r="K50" i="12" s="1"/>
  <c r="F84" i="11"/>
  <c r="K46" i="12" s="1"/>
  <c r="F80" i="11"/>
  <c r="K42" i="12" s="1"/>
  <c r="F58" i="11"/>
  <c r="F75" i="11"/>
  <c r="K37" i="12" s="1"/>
  <c r="F64" i="11"/>
  <c r="K26" i="12" s="1"/>
  <c r="F70" i="11"/>
  <c r="K32" i="12" s="1"/>
  <c r="F69" i="11"/>
  <c r="K31" i="12" s="1"/>
  <c r="F62" i="11"/>
  <c r="K24" i="12" s="1"/>
  <c r="F111" i="11"/>
  <c r="F107" i="11"/>
  <c r="K69" i="12" s="1"/>
  <c r="F103" i="11"/>
  <c r="F99" i="11"/>
  <c r="K61" i="12" s="1"/>
  <c r="F95" i="11"/>
  <c r="F91" i="11"/>
  <c r="K53" i="12" s="1"/>
  <c r="F87" i="11"/>
  <c r="F83" i="11"/>
  <c r="K45" i="12" s="1"/>
  <c r="F79" i="11"/>
  <c r="K41" i="12" s="1"/>
  <c r="F76" i="11"/>
  <c r="K38" i="12" s="1"/>
  <c r="F65" i="11"/>
  <c r="K27" i="12" s="1"/>
  <c r="F67" i="11"/>
  <c r="K29" i="12" s="1"/>
  <c r="F68" i="11"/>
  <c r="K30" i="12" s="1"/>
  <c r="F61" i="11"/>
  <c r="K23" i="12" s="1"/>
  <c r="F114" i="11"/>
  <c r="F110" i="11"/>
  <c r="K72" i="12" s="1"/>
  <c r="F106" i="11"/>
  <c r="F102" i="11"/>
  <c r="F98" i="11"/>
  <c r="F94" i="11"/>
  <c r="K56" i="12" s="1"/>
  <c r="F90" i="11"/>
  <c r="F86" i="11"/>
  <c r="F82" i="11"/>
  <c r="K44" i="12" s="1"/>
  <c r="F78" i="11"/>
  <c r="K40" i="12" s="1"/>
  <c r="F72" i="11"/>
  <c r="K34" i="12" s="1"/>
  <c r="F63" i="11"/>
  <c r="K25" i="12" s="1"/>
  <c r="F60" i="11"/>
  <c r="K22" i="12" s="1"/>
  <c r="F73" i="11"/>
  <c r="K35" i="12" s="1"/>
  <c r="H218" i="11"/>
  <c r="J218" i="11" s="1"/>
  <c r="H289" i="11"/>
  <c r="J289" i="11" s="1"/>
  <c r="H147" i="11"/>
  <c r="J147" i="11" s="1"/>
  <c r="H148" i="11"/>
  <c r="J148" i="11" s="1"/>
  <c r="H290" i="11"/>
  <c r="J290" i="11" s="1"/>
  <c r="H219" i="11"/>
  <c r="J219" i="11" s="1"/>
  <c r="H291" i="11"/>
  <c r="J291" i="11" s="1"/>
  <c r="H220" i="11"/>
  <c r="J220" i="11" s="1"/>
  <c r="H149" i="11"/>
  <c r="J149" i="11" s="1"/>
  <c r="H221" i="11"/>
  <c r="H292" i="11"/>
  <c r="H150" i="11"/>
  <c r="H151" i="11"/>
  <c r="H222" i="11"/>
  <c r="H293" i="11"/>
  <c r="H294" i="11"/>
  <c r="H223" i="11"/>
  <c r="H152" i="11"/>
  <c r="H295" i="11"/>
  <c r="H153" i="11"/>
  <c r="H224" i="11"/>
  <c r="H296" i="11"/>
  <c r="H225" i="11"/>
  <c r="H154" i="11"/>
  <c r="H226" i="11"/>
  <c r="H297" i="11"/>
  <c r="H155" i="11"/>
  <c r="H227" i="11"/>
  <c r="H298" i="11"/>
  <c r="H156" i="11"/>
  <c r="H157" i="11"/>
  <c r="H228" i="11"/>
  <c r="H299" i="11"/>
  <c r="H300" i="11"/>
  <c r="H158" i="11"/>
  <c r="H229" i="11"/>
  <c r="H159" i="11"/>
  <c r="H230" i="11"/>
  <c r="H301" i="11"/>
  <c r="H160" i="11"/>
  <c r="H231" i="11"/>
  <c r="H302" i="11"/>
  <c r="H232" i="11"/>
  <c r="H303" i="11"/>
  <c r="H161" i="11"/>
  <c r="H304" i="11"/>
  <c r="H162" i="11"/>
  <c r="H233" i="11"/>
  <c r="H234" i="11"/>
  <c r="H305" i="11"/>
  <c r="H163" i="11"/>
  <c r="H235" i="11"/>
  <c r="H164" i="11"/>
  <c r="H306" i="11"/>
  <c r="H307" i="11"/>
  <c r="H236" i="11"/>
  <c r="H165" i="11"/>
  <c r="H166" i="11"/>
  <c r="H237" i="11"/>
  <c r="H308" i="11"/>
  <c r="H309" i="11"/>
  <c r="H167" i="11"/>
  <c r="H238" i="11"/>
  <c r="H168" i="11"/>
  <c r="H310" i="11"/>
  <c r="H239" i="11"/>
  <c r="H169" i="11"/>
  <c r="H240" i="11"/>
  <c r="H311" i="11"/>
  <c r="H241" i="11"/>
  <c r="H170" i="11"/>
  <c r="H312" i="11"/>
  <c r="H313" i="11"/>
  <c r="H171" i="11"/>
  <c r="H242" i="11"/>
  <c r="H314" i="11"/>
  <c r="H243" i="11"/>
  <c r="H172" i="11"/>
  <c r="H173" i="11"/>
  <c r="H244" i="11"/>
  <c r="H315" i="11"/>
  <c r="H316" i="11"/>
  <c r="H174" i="11"/>
  <c r="H245" i="11"/>
  <c r="H175" i="11"/>
  <c r="H246" i="11"/>
  <c r="H317" i="11"/>
  <c r="H247" i="11"/>
  <c r="H318" i="11"/>
  <c r="H176" i="11"/>
  <c r="H319" i="11"/>
  <c r="H177" i="11"/>
  <c r="H248" i="11"/>
  <c r="H249" i="11"/>
  <c r="H320" i="11"/>
  <c r="H178" i="11"/>
  <c r="H250" i="11"/>
  <c r="H179" i="11"/>
  <c r="H321" i="11"/>
  <c r="H251" i="11"/>
  <c r="H322" i="11"/>
  <c r="H180" i="11"/>
  <c r="H323" i="11"/>
  <c r="H181" i="11"/>
  <c r="H252" i="11"/>
  <c r="H182" i="11"/>
  <c r="H253" i="11"/>
  <c r="H324" i="11"/>
  <c r="H183" i="11"/>
  <c r="H254" i="11"/>
  <c r="H325" i="11"/>
  <c r="H184" i="11"/>
  <c r="H255" i="11"/>
  <c r="H326" i="11"/>
  <c r="H256" i="11"/>
  <c r="H185" i="11"/>
  <c r="H327" i="11"/>
  <c r="H257" i="11"/>
  <c r="H186" i="11"/>
  <c r="H328" i="11"/>
  <c r="H329" i="11"/>
  <c r="H258" i="11"/>
  <c r="H187" i="11"/>
  <c r="H330" i="11"/>
  <c r="H259" i="11"/>
  <c r="H188" i="11"/>
  <c r="C553" i="11"/>
  <c r="B160" i="8"/>
  <c r="AF116" i="11" l="1"/>
  <c r="M54" i="12"/>
  <c r="N54" i="12" s="1"/>
  <c r="B154" i="17"/>
  <c r="Y153" i="17"/>
  <c r="H153" i="17"/>
  <c r="E55" i="12"/>
  <c r="F55" i="12"/>
  <c r="B63" i="17"/>
  <c r="D55" i="12"/>
  <c r="G55" i="12" s="1"/>
  <c r="H55" i="12" s="1"/>
  <c r="B56" i="12"/>
  <c r="H62" i="17"/>
  <c r="Y62" i="17"/>
  <c r="K55" i="12"/>
  <c r="J100" i="11"/>
  <c r="K62" i="12"/>
  <c r="J115" i="11"/>
  <c r="K77" i="12"/>
  <c r="K48" i="12"/>
  <c r="J102" i="11"/>
  <c r="K64" i="12"/>
  <c r="J109" i="11"/>
  <c r="K71" i="12"/>
  <c r="K52" i="12"/>
  <c r="J106" i="11"/>
  <c r="K68" i="12"/>
  <c r="K57" i="12"/>
  <c r="J111" i="11"/>
  <c r="K73" i="12"/>
  <c r="J97" i="11"/>
  <c r="K59" i="12"/>
  <c r="J98" i="11"/>
  <c r="K60" i="12"/>
  <c r="J114" i="11"/>
  <c r="K76" i="12"/>
  <c r="K49" i="12"/>
  <c r="J103" i="11"/>
  <c r="K65" i="12"/>
  <c r="J58" i="11"/>
  <c r="K20" i="12"/>
  <c r="K54" i="12"/>
  <c r="J108" i="11"/>
  <c r="K70" i="12"/>
  <c r="K51" i="12"/>
  <c r="J105" i="11"/>
  <c r="K67" i="12"/>
  <c r="J113" i="11"/>
  <c r="K75" i="12"/>
  <c r="J104" i="11"/>
  <c r="J101" i="11"/>
  <c r="J107" i="11"/>
  <c r="J96" i="11"/>
  <c r="J112" i="11"/>
  <c r="J110" i="11"/>
  <c r="J99" i="11"/>
  <c r="T116" i="11"/>
  <c r="Z116" i="11"/>
  <c r="K116" i="11"/>
  <c r="T78" i="12" s="1"/>
  <c r="AR147" i="11"/>
  <c r="T147" i="11"/>
  <c r="K147" i="11"/>
  <c r="AL147" i="11"/>
  <c r="Z147" i="11"/>
  <c r="AF147" i="11"/>
  <c r="AX147" i="11"/>
  <c r="AF289" i="11"/>
  <c r="K289" i="11"/>
  <c r="AX289" i="11"/>
  <c r="AR289" i="11"/>
  <c r="Z289" i="11"/>
  <c r="AL289" i="11"/>
  <c r="T289" i="11"/>
  <c r="AR218" i="11"/>
  <c r="K218" i="11"/>
  <c r="AX218" i="11"/>
  <c r="AL218" i="11"/>
  <c r="T218" i="11"/>
  <c r="AF218" i="11"/>
  <c r="Z218" i="11"/>
  <c r="AL219" i="11"/>
  <c r="T219" i="11"/>
  <c r="AF219" i="11"/>
  <c r="K219" i="11"/>
  <c r="Z219" i="11"/>
  <c r="AX219" i="11"/>
  <c r="AR219" i="11"/>
  <c r="AF290" i="11"/>
  <c r="K290" i="11"/>
  <c r="AX290" i="11"/>
  <c r="AL290" i="11"/>
  <c r="T290" i="11"/>
  <c r="Z290" i="11"/>
  <c r="AR290" i="11"/>
  <c r="AF148" i="11"/>
  <c r="K148" i="11"/>
  <c r="AL148" i="11"/>
  <c r="AR148" i="11"/>
  <c r="Z148" i="11"/>
  <c r="AX148" i="11"/>
  <c r="T148" i="11"/>
  <c r="AF149" i="11"/>
  <c r="AR149" i="11"/>
  <c r="Z149" i="11"/>
  <c r="T149" i="11"/>
  <c r="K149" i="11"/>
  <c r="AL149" i="11"/>
  <c r="AX149" i="11"/>
  <c r="Z220" i="11"/>
  <c r="AX220" i="11"/>
  <c r="AF220" i="11"/>
  <c r="T220" i="11"/>
  <c r="AL220" i="11"/>
  <c r="AR220" i="11"/>
  <c r="K220" i="11"/>
  <c r="T291" i="11"/>
  <c r="AX291" i="11"/>
  <c r="AL291" i="11"/>
  <c r="AR291" i="11"/>
  <c r="Z291" i="11"/>
  <c r="K291" i="11"/>
  <c r="AF291" i="11"/>
  <c r="J325" i="11"/>
  <c r="J320" i="11"/>
  <c r="J174" i="11"/>
  <c r="J169" i="11"/>
  <c r="J163" i="11"/>
  <c r="J164" i="11" s="1"/>
  <c r="J158" i="11"/>
  <c r="J225" i="11"/>
  <c r="J292" i="11"/>
  <c r="J257" i="11"/>
  <c r="J182" i="11"/>
  <c r="J179" i="11"/>
  <c r="J249" i="11"/>
  <c r="J176" i="11"/>
  <c r="J246" i="11"/>
  <c r="J316" i="11"/>
  <c r="J172" i="11"/>
  <c r="J171" i="11"/>
  <c r="J241" i="11"/>
  <c r="J239" i="11"/>
  <c r="J166" i="11"/>
  <c r="J167" i="11" s="1"/>
  <c r="J306" i="11"/>
  <c r="J305" i="11"/>
  <c r="J304" i="11"/>
  <c r="J302" i="11"/>
  <c r="J230" i="11"/>
  <c r="J300" i="11"/>
  <c r="J156" i="11"/>
  <c r="J157" i="11" s="1"/>
  <c r="J297" i="11"/>
  <c r="J296" i="11"/>
  <c r="J222" i="11"/>
  <c r="J221" i="11"/>
  <c r="J187" i="11"/>
  <c r="J256" i="11"/>
  <c r="J323" i="11"/>
  <c r="J321" i="11"/>
  <c r="J317" i="11"/>
  <c r="J173" i="11"/>
  <c r="J170" i="11"/>
  <c r="J237" i="11"/>
  <c r="J307" i="11"/>
  <c r="J232" i="11"/>
  <c r="J301" i="11"/>
  <c r="J155" i="11"/>
  <c r="J295" i="11"/>
  <c r="J293" i="11"/>
  <c r="J188" i="11"/>
  <c r="J258" i="11"/>
  <c r="J326" i="11"/>
  <c r="J254" i="11"/>
  <c r="J180" i="11"/>
  <c r="C554" i="11"/>
  <c r="B161" i="8"/>
  <c r="J259" i="11"/>
  <c r="J329" i="11"/>
  <c r="J327" i="11"/>
  <c r="J255" i="11"/>
  <c r="J183" i="11"/>
  <c r="J252" i="11"/>
  <c r="J322" i="11"/>
  <c r="J250" i="11"/>
  <c r="J248" i="11"/>
  <c r="J318" i="11"/>
  <c r="J175" i="11"/>
  <c r="J315" i="11"/>
  <c r="J243" i="11"/>
  <c r="J313" i="11"/>
  <c r="J311" i="11"/>
  <c r="J310" i="11"/>
  <c r="J309" i="11"/>
  <c r="J165" i="11"/>
  <c r="J234" i="11"/>
  <c r="J161" i="11"/>
  <c r="J231" i="11"/>
  <c r="J159" i="11"/>
  <c r="J299" i="11"/>
  <c r="J298" i="11"/>
  <c r="J226" i="11"/>
  <c r="J224" i="11"/>
  <c r="J223" i="11"/>
  <c r="J151" i="11"/>
  <c r="J152" i="11" s="1"/>
  <c r="J153" i="11" s="1"/>
  <c r="J154" i="11" s="1"/>
  <c r="S78" i="12"/>
  <c r="AX116" i="11"/>
  <c r="AR116" i="11"/>
  <c r="AL116" i="11"/>
  <c r="J186" i="11"/>
  <c r="J253" i="11"/>
  <c r="J319" i="11"/>
  <c r="J242" i="11"/>
  <c r="J238" i="11"/>
  <c r="J162" i="11"/>
  <c r="J330" i="11"/>
  <c r="J328" i="11"/>
  <c r="J185" i="11"/>
  <c r="J184" i="11"/>
  <c r="J324" i="11"/>
  <c r="J181" i="11"/>
  <c r="J251" i="11"/>
  <c r="J178" i="11"/>
  <c r="J177" i="11"/>
  <c r="J247" i="11"/>
  <c r="J245" i="11"/>
  <c r="J244" i="11"/>
  <c r="J314" i="11"/>
  <c r="J312" i="11"/>
  <c r="J240" i="11"/>
  <c r="J168" i="11"/>
  <c r="J308" i="11"/>
  <c r="J236" i="11"/>
  <c r="J235" i="11"/>
  <c r="J233" i="11"/>
  <c r="J303" i="11"/>
  <c r="J160" i="11"/>
  <c r="J229" i="11"/>
  <c r="J228" i="11"/>
  <c r="J227" i="11"/>
  <c r="J294" i="11"/>
  <c r="J150" i="11"/>
  <c r="AF98" i="11" l="1"/>
  <c r="AF102" i="11"/>
  <c r="AF99" i="11"/>
  <c r="AF107" i="11"/>
  <c r="AF113" i="11"/>
  <c r="T110" i="11"/>
  <c r="T101" i="11"/>
  <c r="AF108" i="11"/>
  <c r="AF114" i="11"/>
  <c r="AF97" i="11"/>
  <c r="AF109" i="11"/>
  <c r="AF96" i="11"/>
  <c r="AF111" i="11"/>
  <c r="J59" i="11"/>
  <c r="AF100" i="11"/>
  <c r="T112" i="11"/>
  <c r="AF104" i="11"/>
  <c r="AF105" i="11"/>
  <c r="AF103" i="11"/>
  <c r="AF106" i="11"/>
  <c r="AF115" i="11"/>
  <c r="M55" i="12"/>
  <c r="N55" i="12" s="1"/>
  <c r="H63" i="17"/>
  <c r="Y63" i="17"/>
  <c r="B57" i="12"/>
  <c r="B64" i="17"/>
  <c r="E56" i="12"/>
  <c r="F56" i="12"/>
  <c r="D56" i="12"/>
  <c r="G56" i="12" s="1"/>
  <c r="H56" i="12" s="1"/>
  <c r="B155" i="17"/>
  <c r="H154" i="17"/>
  <c r="Y154" i="17"/>
  <c r="AR113" i="11"/>
  <c r="T113" i="11"/>
  <c r="AR97" i="11"/>
  <c r="K97" i="11"/>
  <c r="T59" i="12" s="1"/>
  <c r="T102" i="11"/>
  <c r="AR106" i="11"/>
  <c r="K100" i="11"/>
  <c r="T62" i="12" s="1"/>
  <c r="T98" i="11"/>
  <c r="AX100" i="11"/>
  <c r="AX109" i="11"/>
  <c r="K98" i="11"/>
  <c r="T60" i="12" s="1"/>
  <c r="T114" i="11"/>
  <c r="K58" i="11"/>
  <c r="T20" i="12" s="1"/>
  <c r="S67" i="12"/>
  <c r="AX103" i="11"/>
  <c r="Z109" i="11"/>
  <c r="Z111" i="11"/>
  <c r="AX111" i="11"/>
  <c r="AL98" i="11"/>
  <c r="S70" i="12"/>
  <c r="S77" i="12"/>
  <c r="T115" i="11"/>
  <c r="AL114" i="11"/>
  <c r="AL102" i="11"/>
  <c r="AL106" i="11"/>
  <c r="AL100" i="11"/>
  <c r="S73" i="12"/>
  <c r="AX105" i="11"/>
  <c r="AL108" i="11"/>
  <c r="AR109" i="11"/>
  <c r="T111" i="11"/>
  <c r="T109" i="11"/>
  <c r="T108" i="11"/>
  <c r="AR58" i="11"/>
  <c r="AX106" i="11"/>
  <c r="S62" i="12"/>
  <c r="AL111" i="11"/>
  <c r="S60" i="12"/>
  <c r="AL105" i="11"/>
  <c r="AR108" i="11"/>
  <c r="S71" i="12"/>
  <c r="K106" i="11"/>
  <c r="T68" i="12" s="1"/>
  <c r="K108" i="11"/>
  <c r="T70" i="12" s="1"/>
  <c r="T106" i="11"/>
  <c r="T105" i="11"/>
  <c r="Z98" i="11"/>
  <c r="T100" i="11"/>
  <c r="S20" i="12"/>
  <c r="AF58" i="11"/>
  <c r="AX98" i="11"/>
  <c r="S68" i="12"/>
  <c r="AR100" i="11"/>
  <c r="AR111" i="11"/>
  <c r="AR98" i="11"/>
  <c r="AR105" i="11"/>
  <c r="AX108" i="11"/>
  <c r="AL109" i="11"/>
  <c r="K111" i="11"/>
  <c r="T73" i="12" s="1"/>
  <c r="K109" i="11"/>
  <c r="T71" i="12" s="1"/>
  <c r="Z106" i="11"/>
  <c r="Z105" i="11"/>
  <c r="Z100" i="11"/>
  <c r="T58" i="11"/>
  <c r="AL58" i="11"/>
  <c r="K105" i="11"/>
  <c r="T67" i="12" s="1"/>
  <c r="Z108" i="11"/>
  <c r="AX58" i="11"/>
  <c r="Z58" i="11"/>
  <c r="AR114" i="11"/>
  <c r="K114" i="11"/>
  <c r="T76" i="12" s="1"/>
  <c r="Z103" i="11"/>
  <c r="AX97" i="11"/>
  <c r="S65" i="12"/>
  <c r="AX114" i="11"/>
  <c r="AR102" i="11"/>
  <c r="T103" i="11"/>
  <c r="T97" i="11"/>
  <c r="AL113" i="11"/>
  <c r="AX115" i="11"/>
  <c r="S59" i="12"/>
  <c r="AR103" i="11"/>
  <c r="AX102" i="11"/>
  <c r="K113" i="11"/>
  <c r="T75" i="12" s="1"/>
  <c r="Z97" i="11"/>
  <c r="S75" i="12"/>
  <c r="AL115" i="11"/>
  <c r="AX113" i="11"/>
  <c r="AR115" i="11"/>
  <c r="AL97" i="11"/>
  <c r="AL103" i="11"/>
  <c r="S76" i="12"/>
  <c r="S64" i="12"/>
  <c r="K103" i="11"/>
  <c r="T65" i="12" s="1"/>
  <c r="K102" i="11"/>
  <c r="T64" i="12" s="1"/>
  <c r="K115" i="11"/>
  <c r="T77" i="12" s="1"/>
  <c r="Z113" i="11"/>
  <c r="Z115" i="11"/>
  <c r="Z114" i="11"/>
  <c r="Z102" i="11"/>
  <c r="J62" i="11"/>
  <c r="AL96" i="11"/>
  <c r="S63" i="12"/>
  <c r="K96" i="11"/>
  <c r="T58" i="12" s="1"/>
  <c r="Z96" i="11"/>
  <c r="AX96" i="11"/>
  <c r="AX112" i="11"/>
  <c r="AR112" i="11"/>
  <c r="Z112" i="11"/>
  <c r="Z110" i="11"/>
  <c r="AR104" i="11"/>
  <c r="K110" i="11"/>
  <c r="T72" i="12" s="1"/>
  <c r="AR99" i="11"/>
  <c r="AL99" i="11"/>
  <c r="AX110" i="11"/>
  <c r="AL107" i="11"/>
  <c r="Z104" i="11"/>
  <c r="Z107" i="11"/>
  <c r="S69" i="12"/>
  <c r="K107" i="11"/>
  <c r="T69" i="12" s="1"/>
  <c r="Z99" i="11"/>
  <c r="S72" i="12"/>
  <c r="AL104" i="11"/>
  <c r="Z101" i="11"/>
  <c r="AR101" i="11"/>
  <c r="K101" i="11"/>
  <c r="T63" i="12" s="1"/>
  <c r="S74" i="12"/>
  <c r="AR96" i="11"/>
  <c r="AX99" i="11"/>
  <c r="AL110" i="11"/>
  <c r="AX104" i="11"/>
  <c r="AL101" i="11"/>
  <c r="AX107" i="11"/>
  <c r="K104" i="11"/>
  <c r="T66" i="12" s="1"/>
  <c r="T104" i="11"/>
  <c r="T99" i="11"/>
  <c r="T107" i="11"/>
  <c r="AF110" i="11"/>
  <c r="AF112" i="11"/>
  <c r="AF101" i="11"/>
  <c r="AL112" i="11"/>
  <c r="S58" i="12"/>
  <c r="S61" i="12"/>
  <c r="AR110" i="11"/>
  <c r="S66" i="12"/>
  <c r="AX101" i="11"/>
  <c r="AR107" i="11"/>
  <c r="K99" i="11"/>
  <c r="T61" i="12" s="1"/>
  <c r="K112" i="11"/>
  <c r="T74" i="12" s="1"/>
  <c r="T96" i="11"/>
  <c r="AX329" i="11"/>
  <c r="AF329" i="11"/>
  <c r="T329" i="11"/>
  <c r="AL329" i="11"/>
  <c r="Z329" i="11"/>
  <c r="K329" i="11"/>
  <c r="AR329" i="11"/>
  <c r="AR295" i="11"/>
  <c r="AF295" i="11"/>
  <c r="AX295" i="11"/>
  <c r="Z295" i="11"/>
  <c r="T295" i="11"/>
  <c r="AL295" i="11"/>
  <c r="K295" i="11"/>
  <c r="AX317" i="11"/>
  <c r="AF317" i="11"/>
  <c r="AR317" i="11"/>
  <c r="K317" i="11"/>
  <c r="T317" i="11"/>
  <c r="AL317" i="11"/>
  <c r="Z317" i="11"/>
  <c r="T221" i="11"/>
  <c r="AL221" i="11"/>
  <c r="AR221" i="11"/>
  <c r="AF221" i="11"/>
  <c r="K221" i="11"/>
  <c r="Z221" i="11"/>
  <c r="AX221" i="11"/>
  <c r="K260" i="11"/>
  <c r="T260" i="11"/>
  <c r="T194" i="11" s="1"/>
  <c r="AL260" i="11"/>
  <c r="AL194" i="11" s="1"/>
  <c r="AR260" i="11"/>
  <c r="AR194" i="11" s="1"/>
  <c r="AX260" i="11"/>
  <c r="AX194" i="11" s="1"/>
  <c r="AF260" i="11"/>
  <c r="AF194" i="11" s="1"/>
  <c r="J260" i="11"/>
  <c r="Z260" i="11"/>
  <c r="Z194" i="11" s="1"/>
  <c r="AX302" i="11"/>
  <c r="AR302" i="11"/>
  <c r="K302" i="11"/>
  <c r="T302" i="11"/>
  <c r="Z302" i="11"/>
  <c r="AL302" i="11"/>
  <c r="AF302" i="11"/>
  <c r="T239" i="11"/>
  <c r="K239" i="11"/>
  <c r="AF239" i="11"/>
  <c r="Z239" i="11"/>
  <c r="AR239" i="11"/>
  <c r="AX239" i="11"/>
  <c r="AL239" i="11"/>
  <c r="AX179" i="11"/>
  <c r="AF179" i="11"/>
  <c r="AL179" i="11"/>
  <c r="T179" i="11"/>
  <c r="AR179" i="11"/>
  <c r="K179" i="11"/>
  <c r="Z179" i="11"/>
  <c r="AR229" i="11"/>
  <c r="T229" i="11"/>
  <c r="Z229" i="11"/>
  <c r="AX229" i="11"/>
  <c r="K229" i="11"/>
  <c r="AL229" i="11"/>
  <c r="AF229" i="11"/>
  <c r="AX308" i="11"/>
  <c r="AL308" i="11"/>
  <c r="Z308" i="11"/>
  <c r="AF308" i="11"/>
  <c r="K308" i="11"/>
  <c r="AR308" i="11"/>
  <c r="T308" i="11"/>
  <c r="AX177" i="11"/>
  <c r="AF177" i="11"/>
  <c r="AL177" i="11"/>
  <c r="T177" i="11"/>
  <c r="Z177" i="11"/>
  <c r="K177" i="11"/>
  <c r="AR177" i="11"/>
  <c r="AR330" i="11"/>
  <c r="Z330" i="11"/>
  <c r="T330" i="11"/>
  <c r="AF330" i="11"/>
  <c r="AX330" i="11"/>
  <c r="AL330" i="11"/>
  <c r="K330" i="11"/>
  <c r="AL223" i="11"/>
  <c r="AX223" i="11"/>
  <c r="K223" i="11"/>
  <c r="T223" i="11"/>
  <c r="Z223" i="11"/>
  <c r="AF223" i="11"/>
  <c r="AR223" i="11"/>
  <c r="AL226" i="11"/>
  <c r="AR226" i="11"/>
  <c r="AX226" i="11"/>
  <c r="AF226" i="11"/>
  <c r="Z226" i="11"/>
  <c r="K226" i="11"/>
  <c r="T226" i="11"/>
  <c r="Z299" i="11"/>
  <c r="AR299" i="11"/>
  <c r="AX299" i="11"/>
  <c r="K299" i="11"/>
  <c r="AL299" i="11"/>
  <c r="T299" i="11"/>
  <c r="AF299" i="11"/>
  <c r="AR231" i="11"/>
  <c r="K231" i="11"/>
  <c r="Z231" i="11"/>
  <c r="AF231" i="11"/>
  <c r="T231" i="11"/>
  <c r="AL231" i="11"/>
  <c r="AX231" i="11"/>
  <c r="K234" i="11"/>
  <c r="AF234" i="11"/>
  <c r="AL234" i="11"/>
  <c r="AR234" i="11"/>
  <c r="AX234" i="11"/>
  <c r="T234" i="11"/>
  <c r="Z234" i="11"/>
  <c r="AL310" i="11"/>
  <c r="Z310" i="11"/>
  <c r="T310" i="11"/>
  <c r="K310" i="11"/>
  <c r="AR310" i="11"/>
  <c r="AF310" i="11"/>
  <c r="AX310" i="11"/>
  <c r="AL313" i="11"/>
  <c r="AF313" i="11"/>
  <c r="Z313" i="11"/>
  <c r="T313" i="11"/>
  <c r="AR313" i="11"/>
  <c r="AX313" i="11"/>
  <c r="K313" i="11"/>
  <c r="AL315" i="11"/>
  <c r="AX315" i="11"/>
  <c r="AR315" i="11"/>
  <c r="T315" i="11"/>
  <c r="Z315" i="11"/>
  <c r="AF315" i="11"/>
  <c r="K315" i="11"/>
  <c r="AX318" i="11"/>
  <c r="K318" i="11"/>
  <c r="AR318" i="11"/>
  <c r="Z318" i="11"/>
  <c r="AF318" i="11"/>
  <c r="T318" i="11"/>
  <c r="AL318" i="11"/>
  <c r="AR250" i="11"/>
  <c r="AX250" i="11"/>
  <c r="T250" i="11"/>
  <c r="Z250" i="11"/>
  <c r="AL250" i="11"/>
  <c r="AF250" i="11"/>
  <c r="K250" i="11"/>
  <c r="T252" i="11"/>
  <c r="AX252" i="11"/>
  <c r="AR252" i="11"/>
  <c r="K252" i="11"/>
  <c r="Z252" i="11"/>
  <c r="AF252" i="11"/>
  <c r="AL252" i="11"/>
  <c r="AX255" i="11"/>
  <c r="K255" i="11"/>
  <c r="Z255" i="11"/>
  <c r="AF255" i="11"/>
  <c r="AL255" i="11"/>
  <c r="T255" i="11"/>
  <c r="AR255" i="11"/>
  <c r="AL254" i="11"/>
  <c r="K254" i="11"/>
  <c r="AF254" i="11"/>
  <c r="AX254" i="11"/>
  <c r="AR254" i="11"/>
  <c r="T254" i="11"/>
  <c r="Z254" i="11"/>
  <c r="AR258" i="11"/>
  <c r="AL258" i="11"/>
  <c r="AF258" i="11"/>
  <c r="AX258" i="11"/>
  <c r="Z258" i="11"/>
  <c r="T258" i="11"/>
  <c r="K258" i="11"/>
  <c r="Z237" i="11"/>
  <c r="AL237" i="11"/>
  <c r="AR237" i="11"/>
  <c r="AX237" i="11"/>
  <c r="K237" i="11"/>
  <c r="AF237" i="11"/>
  <c r="T237" i="11"/>
  <c r="AX173" i="11"/>
  <c r="AL173" i="11"/>
  <c r="AF173" i="11"/>
  <c r="Z173" i="11"/>
  <c r="AR173" i="11"/>
  <c r="T173" i="11"/>
  <c r="K173" i="11"/>
  <c r="AF225" i="11"/>
  <c r="AL225" i="11"/>
  <c r="AX225" i="11"/>
  <c r="Z225" i="11"/>
  <c r="AR225" i="11"/>
  <c r="T225" i="11"/>
  <c r="K225" i="11"/>
  <c r="AR163" i="11"/>
  <c r="AF163" i="11"/>
  <c r="T163" i="11"/>
  <c r="AX163" i="11"/>
  <c r="Z163" i="11"/>
  <c r="K163" i="11"/>
  <c r="AL163" i="11"/>
  <c r="K174" i="11"/>
  <c r="AX174" i="11"/>
  <c r="AR174" i="11"/>
  <c r="AL174" i="11"/>
  <c r="T174" i="11"/>
  <c r="Z174" i="11"/>
  <c r="AF174" i="11"/>
  <c r="AR325" i="11"/>
  <c r="K325" i="11"/>
  <c r="T325" i="11"/>
  <c r="AX325" i="11"/>
  <c r="AL325" i="11"/>
  <c r="AF325" i="11"/>
  <c r="Z325" i="11"/>
  <c r="AL301" i="11"/>
  <c r="T301" i="11"/>
  <c r="K301" i="11"/>
  <c r="AX301" i="11"/>
  <c r="Z301" i="11"/>
  <c r="AR301" i="11"/>
  <c r="AF301" i="11"/>
  <c r="Z170" i="11"/>
  <c r="T170" i="11"/>
  <c r="K170" i="11"/>
  <c r="AF170" i="11"/>
  <c r="AX170" i="11"/>
  <c r="AR170" i="11"/>
  <c r="AL170" i="11"/>
  <c r="T323" i="11"/>
  <c r="AR323" i="11"/>
  <c r="AX323" i="11"/>
  <c r="AF323" i="11"/>
  <c r="K323" i="11"/>
  <c r="Z323" i="11"/>
  <c r="AL323" i="11"/>
  <c r="AR187" i="11"/>
  <c r="Z187" i="11"/>
  <c r="AF187" i="11"/>
  <c r="AX187" i="11"/>
  <c r="T187" i="11"/>
  <c r="K187" i="11"/>
  <c r="AL187" i="11"/>
  <c r="T152" i="11"/>
  <c r="AL152" i="11"/>
  <c r="AX152" i="11"/>
  <c r="K152" i="11"/>
  <c r="Z152" i="11"/>
  <c r="AR152" i="11"/>
  <c r="AF152" i="11"/>
  <c r="T297" i="11"/>
  <c r="AX297" i="11"/>
  <c r="K297" i="11"/>
  <c r="AL297" i="11"/>
  <c r="AR297" i="11"/>
  <c r="Z297" i="11"/>
  <c r="AF297" i="11"/>
  <c r="T300" i="11"/>
  <c r="AF300" i="11"/>
  <c r="AL300" i="11"/>
  <c r="K300" i="11"/>
  <c r="AX300" i="11"/>
  <c r="AR300" i="11"/>
  <c r="Z300" i="11"/>
  <c r="AF305" i="11"/>
  <c r="T305" i="11"/>
  <c r="AX305" i="11"/>
  <c r="Z305" i="11"/>
  <c r="K305" i="11"/>
  <c r="AR305" i="11"/>
  <c r="AL305" i="11"/>
  <c r="AL166" i="11"/>
  <c r="AR166" i="11"/>
  <c r="T166" i="11"/>
  <c r="K166" i="11"/>
  <c r="AF166" i="11"/>
  <c r="AX166" i="11"/>
  <c r="Z166" i="11"/>
  <c r="K171" i="11"/>
  <c r="T171" i="11"/>
  <c r="AF171" i="11"/>
  <c r="AX171" i="11"/>
  <c r="AR171" i="11"/>
  <c r="AL171" i="11"/>
  <c r="Z171" i="11"/>
  <c r="AL316" i="11"/>
  <c r="AF316" i="11"/>
  <c r="AX316" i="11"/>
  <c r="Z316" i="11"/>
  <c r="T316" i="11"/>
  <c r="K316" i="11"/>
  <c r="AR316" i="11"/>
  <c r="AL176" i="11"/>
  <c r="T176" i="11"/>
  <c r="Z176" i="11"/>
  <c r="K176" i="11"/>
  <c r="AR176" i="11"/>
  <c r="AX176" i="11"/>
  <c r="AF176" i="11"/>
  <c r="T257" i="11"/>
  <c r="AX257" i="11"/>
  <c r="AR257" i="11"/>
  <c r="AL257" i="11"/>
  <c r="K257" i="11"/>
  <c r="AF257" i="11"/>
  <c r="Z257" i="11"/>
  <c r="AX150" i="11"/>
  <c r="Z150" i="11"/>
  <c r="AR150" i="11"/>
  <c r="K150" i="11"/>
  <c r="AL150" i="11"/>
  <c r="AF150" i="11"/>
  <c r="T150" i="11"/>
  <c r="AX189" i="11"/>
  <c r="AX123" i="11" s="1"/>
  <c r="Z189" i="11"/>
  <c r="Z123" i="11" s="1"/>
  <c r="AL189" i="11"/>
  <c r="AL123" i="11" s="1"/>
  <c r="AF189" i="11"/>
  <c r="AF123" i="11" s="1"/>
  <c r="AR189" i="11"/>
  <c r="AR123" i="11" s="1"/>
  <c r="T189" i="11"/>
  <c r="T123" i="11" s="1"/>
  <c r="J189" i="11"/>
  <c r="K189" i="11"/>
  <c r="K153" i="11"/>
  <c r="Z153" i="11"/>
  <c r="AR153" i="11"/>
  <c r="AF153" i="11"/>
  <c r="T153" i="11"/>
  <c r="AL153" i="11"/>
  <c r="AX153" i="11"/>
  <c r="K227" i="11"/>
  <c r="AL227" i="11"/>
  <c r="T227" i="11"/>
  <c r="AR227" i="11"/>
  <c r="AF227" i="11"/>
  <c r="Z227" i="11"/>
  <c r="AX227" i="11"/>
  <c r="T303" i="11"/>
  <c r="Z303" i="11"/>
  <c r="AX303" i="11"/>
  <c r="AL303" i="11"/>
  <c r="AF303" i="11"/>
  <c r="AR303" i="11"/>
  <c r="K303" i="11"/>
  <c r="AR235" i="11"/>
  <c r="T235" i="11"/>
  <c r="AF235" i="11"/>
  <c r="AL235" i="11"/>
  <c r="AX235" i="11"/>
  <c r="Z235" i="11"/>
  <c r="K235" i="11"/>
  <c r="K240" i="11"/>
  <c r="T240" i="11"/>
  <c r="AR240" i="11"/>
  <c r="AL240" i="11"/>
  <c r="AX240" i="11"/>
  <c r="AF240" i="11"/>
  <c r="Z240" i="11"/>
  <c r="Z314" i="11"/>
  <c r="K314" i="11"/>
  <c r="AF314" i="11"/>
  <c r="AR314" i="11"/>
  <c r="T314" i="11"/>
  <c r="AX314" i="11"/>
  <c r="AL314" i="11"/>
  <c r="T245" i="11"/>
  <c r="K245" i="11"/>
  <c r="AR245" i="11"/>
  <c r="AL245" i="11"/>
  <c r="AX245" i="11"/>
  <c r="Z245" i="11"/>
  <c r="AF245" i="11"/>
  <c r="AX251" i="11"/>
  <c r="AF251" i="11"/>
  <c r="T251" i="11"/>
  <c r="AR251" i="11"/>
  <c r="AL251" i="11"/>
  <c r="Z251" i="11"/>
  <c r="K251" i="11"/>
  <c r="Z324" i="11"/>
  <c r="K324" i="11"/>
  <c r="AR324" i="11"/>
  <c r="T324" i="11"/>
  <c r="AL324" i="11"/>
  <c r="AF324" i="11"/>
  <c r="AX324" i="11"/>
  <c r="K157" i="11"/>
  <c r="Z157" i="11"/>
  <c r="AR157" i="11"/>
  <c r="AF157" i="11"/>
  <c r="T157" i="11"/>
  <c r="AL157" i="11"/>
  <c r="AX157" i="11"/>
  <c r="AL238" i="11"/>
  <c r="T238" i="11"/>
  <c r="Z238" i="11"/>
  <c r="AX238" i="11"/>
  <c r="AF238" i="11"/>
  <c r="K238" i="11"/>
  <c r="AR238" i="11"/>
  <c r="T319" i="11"/>
  <c r="AF319" i="11"/>
  <c r="K319" i="11"/>
  <c r="AL319" i="11"/>
  <c r="AR319" i="11"/>
  <c r="AX319" i="11"/>
  <c r="Z319" i="11"/>
  <c r="AR188" i="11"/>
  <c r="Z188" i="11"/>
  <c r="AF188" i="11"/>
  <c r="K188" i="11"/>
  <c r="T188" i="11"/>
  <c r="AL188" i="11"/>
  <c r="AX188" i="11"/>
  <c r="AR293" i="11"/>
  <c r="T293" i="11"/>
  <c r="AL293" i="11"/>
  <c r="K293" i="11"/>
  <c r="AX293" i="11"/>
  <c r="AF293" i="11"/>
  <c r="Z293" i="11"/>
  <c r="AR155" i="11"/>
  <c r="AF155" i="11"/>
  <c r="T155" i="11"/>
  <c r="AL155" i="11"/>
  <c r="AX155" i="11"/>
  <c r="K155" i="11"/>
  <c r="Z155" i="11"/>
  <c r="AX232" i="11"/>
  <c r="AR232" i="11"/>
  <c r="AF232" i="11"/>
  <c r="T232" i="11"/>
  <c r="K232" i="11"/>
  <c r="Z232" i="11"/>
  <c r="AL232" i="11"/>
  <c r="T321" i="11"/>
  <c r="AX321" i="11"/>
  <c r="K321" i="11"/>
  <c r="AR321" i="11"/>
  <c r="Z321" i="11"/>
  <c r="AL321" i="11"/>
  <c r="AF321" i="11"/>
  <c r="AF256" i="11"/>
  <c r="AR256" i="11"/>
  <c r="Z256" i="11"/>
  <c r="AX256" i="11"/>
  <c r="T256" i="11"/>
  <c r="AL256" i="11"/>
  <c r="K256" i="11"/>
  <c r="T222" i="11"/>
  <c r="AX222" i="11"/>
  <c r="AL222" i="11"/>
  <c r="AF222" i="11"/>
  <c r="K222" i="11"/>
  <c r="AR222" i="11"/>
  <c r="Z222" i="11"/>
  <c r="AF296" i="11"/>
  <c r="Z296" i="11"/>
  <c r="K296" i="11"/>
  <c r="AX296" i="11"/>
  <c r="AL296" i="11"/>
  <c r="T296" i="11"/>
  <c r="AR296" i="11"/>
  <c r="AR156" i="11"/>
  <c r="AF156" i="11"/>
  <c r="T156" i="11"/>
  <c r="AL156" i="11"/>
  <c r="AX156" i="11"/>
  <c r="K156" i="11"/>
  <c r="Z156" i="11"/>
  <c r="K230" i="11"/>
  <c r="Z230" i="11"/>
  <c r="T230" i="11"/>
  <c r="AL230" i="11"/>
  <c r="AF230" i="11"/>
  <c r="AX230" i="11"/>
  <c r="AR230" i="11"/>
  <c r="AR304" i="11"/>
  <c r="AX304" i="11"/>
  <c r="K304" i="11"/>
  <c r="AL304" i="11"/>
  <c r="T304" i="11"/>
  <c r="Z304" i="11"/>
  <c r="AF304" i="11"/>
  <c r="AR306" i="11"/>
  <c r="AL306" i="11"/>
  <c r="AX306" i="11"/>
  <c r="Z306" i="11"/>
  <c r="K306" i="11"/>
  <c r="AF306" i="11"/>
  <c r="T306" i="11"/>
  <c r="AX167" i="11"/>
  <c r="AF167" i="11"/>
  <c r="T167" i="11"/>
  <c r="K167" i="11"/>
  <c r="AR167" i="11"/>
  <c r="AL167" i="11"/>
  <c r="Z167" i="11"/>
  <c r="AF241" i="11"/>
  <c r="AX241" i="11"/>
  <c r="AR241" i="11"/>
  <c r="T241" i="11"/>
  <c r="Z241" i="11"/>
  <c r="K241" i="11"/>
  <c r="AL241" i="11"/>
  <c r="AL172" i="11"/>
  <c r="AR172" i="11"/>
  <c r="Z172" i="11"/>
  <c r="K172" i="11"/>
  <c r="T172" i="11"/>
  <c r="AX172" i="11"/>
  <c r="AF172" i="11"/>
  <c r="AL246" i="11"/>
  <c r="AR246" i="11"/>
  <c r="AF246" i="11"/>
  <c r="AX246" i="11"/>
  <c r="T246" i="11"/>
  <c r="K246" i="11"/>
  <c r="Z246" i="11"/>
  <c r="T249" i="11"/>
  <c r="AX249" i="11"/>
  <c r="AL249" i="11"/>
  <c r="AR249" i="11"/>
  <c r="K249" i="11"/>
  <c r="Z249" i="11"/>
  <c r="AF249" i="11"/>
  <c r="AX182" i="11"/>
  <c r="AR182" i="11"/>
  <c r="T182" i="11"/>
  <c r="Z182" i="11"/>
  <c r="K182" i="11"/>
  <c r="AL182" i="11"/>
  <c r="AF182" i="11"/>
  <c r="T185" i="11"/>
  <c r="K185" i="11"/>
  <c r="AL185" i="11"/>
  <c r="AX185" i="11"/>
  <c r="AR185" i="11"/>
  <c r="AF185" i="11"/>
  <c r="Z185" i="11"/>
  <c r="AR186" i="11"/>
  <c r="Z186" i="11"/>
  <c r="AF186" i="11"/>
  <c r="AX186" i="11"/>
  <c r="AL186" i="11"/>
  <c r="K186" i="11"/>
  <c r="T186" i="11"/>
  <c r="AX165" i="11"/>
  <c r="AF165" i="11"/>
  <c r="T165" i="11"/>
  <c r="Z165" i="11"/>
  <c r="K165" i="11"/>
  <c r="AL165" i="11"/>
  <c r="AR165" i="11"/>
  <c r="AL307" i="11"/>
  <c r="T307" i="11"/>
  <c r="AF307" i="11"/>
  <c r="K307" i="11"/>
  <c r="AX307" i="11"/>
  <c r="Z307" i="11"/>
  <c r="AR307" i="11"/>
  <c r="Z294" i="11"/>
  <c r="AX294" i="11"/>
  <c r="T294" i="11"/>
  <c r="AR294" i="11"/>
  <c r="AL294" i="11"/>
  <c r="AF294" i="11"/>
  <c r="K294" i="11"/>
  <c r="AR154" i="11"/>
  <c r="AF154" i="11"/>
  <c r="T154" i="11"/>
  <c r="AL154" i="11"/>
  <c r="AX154" i="11"/>
  <c r="K154" i="11"/>
  <c r="Z154" i="11"/>
  <c r="AX228" i="11"/>
  <c r="Z228" i="11"/>
  <c r="AF228" i="11"/>
  <c r="K228" i="11"/>
  <c r="AL228" i="11"/>
  <c r="T228" i="11"/>
  <c r="AR228" i="11"/>
  <c r="T160" i="11"/>
  <c r="AL160" i="11"/>
  <c r="K160" i="11"/>
  <c r="AF160" i="11"/>
  <c r="Z160" i="11"/>
  <c r="AX160" i="11"/>
  <c r="AR160" i="11"/>
  <c r="T233" i="11"/>
  <c r="AF233" i="11"/>
  <c r="Z233" i="11"/>
  <c r="AL233" i="11"/>
  <c r="K233" i="11"/>
  <c r="AX233" i="11"/>
  <c r="AR233" i="11"/>
  <c r="AX236" i="11"/>
  <c r="AF236" i="11"/>
  <c r="AR236" i="11"/>
  <c r="T236" i="11"/>
  <c r="AL236" i="11"/>
  <c r="Z236" i="11"/>
  <c r="K236" i="11"/>
  <c r="Z168" i="11"/>
  <c r="AL168" i="11"/>
  <c r="T168" i="11"/>
  <c r="K168" i="11"/>
  <c r="AF168" i="11"/>
  <c r="AX168" i="11"/>
  <c r="AR168" i="11"/>
  <c r="K312" i="11"/>
  <c r="AL312" i="11"/>
  <c r="Z312" i="11"/>
  <c r="AF312" i="11"/>
  <c r="AR312" i="11"/>
  <c r="T312" i="11"/>
  <c r="AX312" i="11"/>
  <c r="AF244" i="11"/>
  <c r="AL244" i="11"/>
  <c r="AX244" i="11"/>
  <c r="Z244" i="11"/>
  <c r="K244" i="11"/>
  <c r="AR244" i="11"/>
  <c r="T244" i="11"/>
  <c r="Z247" i="11"/>
  <c r="AX247" i="11"/>
  <c r="AR247" i="11"/>
  <c r="K247" i="11"/>
  <c r="AF247" i="11"/>
  <c r="AL247" i="11"/>
  <c r="T247" i="11"/>
  <c r="AL178" i="11"/>
  <c r="Z178" i="11"/>
  <c r="K178" i="11"/>
  <c r="AR178" i="11"/>
  <c r="T178" i="11"/>
  <c r="AX178" i="11"/>
  <c r="AF178" i="11"/>
  <c r="AX181" i="11"/>
  <c r="AF181" i="11"/>
  <c r="AL181" i="11"/>
  <c r="T181" i="11"/>
  <c r="Z181" i="11"/>
  <c r="AR181" i="11"/>
  <c r="K181" i="11"/>
  <c r="T184" i="11"/>
  <c r="K184" i="11"/>
  <c r="AL184" i="11"/>
  <c r="AX184" i="11"/>
  <c r="AR184" i="11"/>
  <c r="AF184" i="11"/>
  <c r="Z184" i="11"/>
  <c r="T328" i="11"/>
  <c r="AL328" i="11"/>
  <c r="K328" i="11"/>
  <c r="AR328" i="11"/>
  <c r="Z328" i="11"/>
  <c r="AX328" i="11"/>
  <c r="AF328" i="11"/>
  <c r="AX162" i="11"/>
  <c r="Z162" i="11"/>
  <c r="K162" i="11"/>
  <c r="AF162" i="11"/>
  <c r="AR162" i="11"/>
  <c r="AL162" i="11"/>
  <c r="T162" i="11"/>
  <c r="AL242" i="11"/>
  <c r="AR242" i="11"/>
  <c r="T242" i="11"/>
  <c r="Z242" i="11"/>
  <c r="AF242" i="11"/>
  <c r="AX242" i="11"/>
  <c r="K242" i="11"/>
  <c r="Z253" i="11"/>
  <c r="T253" i="11"/>
  <c r="AX253" i="11"/>
  <c r="AL253" i="11"/>
  <c r="AF253" i="11"/>
  <c r="AR253" i="11"/>
  <c r="K253" i="11"/>
  <c r="T151" i="11"/>
  <c r="AL151" i="11"/>
  <c r="AX151" i="11"/>
  <c r="K151" i="11"/>
  <c r="Z151" i="11"/>
  <c r="AF151" i="11"/>
  <c r="AR151" i="11"/>
  <c r="AF224" i="11"/>
  <c r="K224" i="11"/>
  <c r="AL224" i="11"/>
  <c r="AX224" i="11"/>
  <c r="Z224" i="11"/>
  <c r="T224" i="11"/>
  <c r="AR224" i="11"/>
  <c r="T298" i="11"/>
  <c r="Z298" i="11"/>
  <c r="AX298" i="11"/>
  <c r="AL298" i="11"/>
  <c r="AR298" i="11"/>
  <c r="K298" i="11"/>
  <c r="AF298" i="11"/>
  <c r="AX159" i="11"/>
  <c r="AF159" i="11"/>
  <c r="AL159" i="11"/>
  <c r="AR159" i="11"/>
  <c r="Z159" i="11"/>
  <c r="T159" i="11"/>
  <c r="K159" i="11"/>
  <c r="AR161" i="11"/>
  <c r="AF161" i="11"/>
  <c r="K161" i="11"/>
  <c r="AL161" i="11"/>
  <c r="T161" i="11"/>
  <c r="AX161" i="11"/>
  <c r="Z161" i="11"/>
  <c r="T164" i="11"/>
  <c r="AL164" i="11"/>
  <c r="AX164" i="11"/>
  <c r="Z164" i="11"/>
  <c r="K164" i="11"/>
  <c r="AF164" i="11"/>
  <c r="AR164" i="11"/>
  <c r="AF309" i="11"/>
  <c r="T309" i="11"/>
  <c r="AL309" i="11"/>
  <c r="K309" i="11"/>
  <c r="AX309" i="11"/>
  <c r="AR309" i="11"/>
  <c r="Z309" i="11"/>
  <c r="K311" i="11"/>
  <c r="AL311" i="11"/>
  <c r="Z311" i="11"/>
  <c r="AX311" i="11"/>
  <c r="T311" i="11"/>
  <c r="AF311" i="11"/>
  <c r="AR311" i="11"/>
  <c r="Z243" i="11"/>
  <c r="AF243" i="11"/>
  <c r="T243" i="11"/>
  <c r="AR243" i="11"/>
  <c r="AL243" i="11"/>
  <c r="K243" i="11"/>
  <c r="AX243" i="11"/>
  <c r="K175" i="11"/>
  <c r="AX175" i="11"/>
  <c r="AR175" i="11"/>
  <c r="AL175" i="11"/>
  <c r="T175" i="11"/>
  <c r="Z175" i="11"/>
  <c r="AF175" i="11"/>
  <c r="AR248" i="11"/>
  <c r="AX248" i="11"/>
  <c r="AL248" i="11"/>
  <c r="T248" i="11"/>
  <c r="Z248" i="11"/>
  <c r="AF248" i="11"/>
  <c r="K248" i="11"/>
  <c r="Z322" i="11"/>
  <c r="AF322" i="11"/>
  <c r="AR322" i="11"/>
  <c r="AL322" i="11"/>
  <c r="K322" i="11"/>
  <c r="AX322" i="11"/>
  <c r="T322" i="11"/>
  <c r="AR183" i="11"/>
  <c r="Z183" i="11"/>
  <c r="T183" i="11"/>
  <c r="AL183" i="11"/>
  <c r="K183" i="11"/>
  <c r="AF183" i="11"/>
  <c r="AX183" i="11"/>
  <c r="Z327" i="11"/>
  <c r="AR327" i="11"/>
  <c r="AX327" i="11"/>
  <c r="AF327" i="11"/>
  <c r="K327" i="11"/>
  <c r="T327" i="11"/>
  <c r="AL327" i="11"/>
  <c r="Z259" i="11"/>
  <c r="AR259" i="11"/>
  <c r="AL259" i="11"/>
  <c r="AX259" i="11"/>
  <c r="T259" i="11"/>
  <c r="AF259" i="11"/>
  <c r="K259" i="11"/>
  <c r="C555" i="11"/>
  <c r="B162" i="8"/>
  <c r="Z180" i="11"/>
  <c r="K180" i="11"/>
  <c r="AR180" i="11"/>
  <c r="AL180" i="11"/>
  <c r="AF180" i="11"/>
  <c r="T180" i="11"/>
  <c r="AX180" i="11"/>
  <c r="AR326" i="11"/>
  <c r="T326" i="11"/>
  <c r="AF326" i="11"/>
  <c r="Z326" i="11"/>
  <c r="AX326" i="11"/>
  <c r="AL326" i="11"/>
  <c r="K326" i="11"/>
  <c r="AL292" i="11"/>
  <c r="T292" i="11"/>
  <c r="Z292" i="11"/>
  <c r="AX292" i="11"/>
  <c r="AR292" i="11"/>
  <c r="AF292" i="11"/>
  <c r="K292" i="11"/>
  <c r="T331" i="11"/>
  <c r="T265" i="11" s="1"/>
  <c r="K331" i="11"/>
  <c r="AX331" i="11"/>
  <c r="AX265" i="11" s="1"/>
  <c r="J331" i="11"/>
  <c r="Z331" i="11"/>
  <c r="Z265" i="11" s="1"/>
  <c r="AR331" i="11"/>
  <c r="AR265" i="11" s="1"/>
  <c r="AL331" i="11"/>
  <c r="AL265" i="11" s="1"/>
  <c r="AF331" i="11"/>
  <c r="AF265" i="11" s="1"/>
  <c r="T158" i="11"/>
  <c r="AL158" i="11"/>
  <c r="AX158" i="11"/>
  <c r="K158" i="11"/>
  <c r="Z158" i="11"/>
  <c r="AF158" i="11"/>
  <c r="AR158" i="11"/>
  <c r="AX169" i="11"/>
  <c r="AF169" i="11"/>
  <c r="K169" i="11"/>
  <c r="AR169" i="11"/>
  <c r="AL169" i="11"/>
  <c r="Z169" i="11"/>
  <c r="T169" i="11"/>
  <c r="Z320" i="11"/>
  <c r="K320" i="11"/>
  <c r="AL320" i="11"/>
  <c r="AR320" i="11"/>
  <c r="AF320" i="11"/>
  <c r="AX320" i="11"/>
  <c r="T320" i="11"/>
  <c r="T59" i="11" l="1"/>
  <c r="AR59" i="11"/>
  <c r="S21" i="12"/>
  <c r="AF59" i="11"/>
  <c r="K59" i="11"/>
  <c r="T21" i="12" s="1"/>
  <c r="AL59" i="11"/>
  <c r="J60" i="11"/>
  <c r="K60" i="11" s="1"/>
  <c r="T22" i="12" s="1"/>
  <c r="Z59" i="11"/>
  <c r="AX59" i="11"/>
  <c r="M56" i="12"/>
  <c r="N56" i="12" s="1"/>
  <c r="Y155" i="17"/>
  <c r="H155" i="17"/>
  <c r="B156" i="17"/>
  <c r="Y64" i="17"/>
  <c r="H64" i="17"/>
  <c r="B58" i="12"/>
  <c r="F57" i="12"/>
  <c r="E57" i="12"/>
  <c r="B65" i="17"/>
  <c r="D57" i="12"/>
  <c r="G57" i="12" s="1"/>
  <c r="H57" i="12" s="1"/>
  <c r="J63" i="11"/>
  <c r="AF62" i="11"/>
  <c r="AX62" i="11"/>
  <c r="S24" i="12"/>
  <c r="Z62" i="11"/>
  <c r="AL62" i="11"/>
  <c r="AR62" i="11"/>
  <c r="T62" i="11"/>
  <c r="K62" i="11"/>
  <c r="T24" i="12" s="1"/>
  <c r="G195" i="11"/>
  <c r="F193" i="11"/>
  <c r="G193" i="11"/>
  <c r="F194" i="11"/>
  <c r="E193" i="11"/>
  <c r="G200" i="11" s="1"/>
  <c r="G194" i="11"/>
  <c r="F195" i="11"/>
  <c r="G265" i="11"/>
  <c r="G266" i="11"/>
  <c r="G264" i="11"/>
  <c r="F264" i="11"/>
  <c r="E264" i="11"/>
  <c r="M44" i="11" s="1"/>
  <c r="F265" i="11"/>
  <c r="F266" i="11"/>
  <c r="F124" i="11"/>
  <c r="G124" i="11"/>
  <c r="F122" i="11"/>
  <c r="G122" i="11"/>
  <c r="E122" i="11"/>
  <c r="F123" i="11"/>
  <c r="G123" i="11"/>
  <c r="C556" i="11"/>
  <c r="B163" i="8"/>
  <c r="Z60" i="11" l="1"/>
  <c r="AL60" i="11"/>
  <c r="S22" i="12"/>
  <c r="J61" i="11"/>
  <c r="AX60" i="11"/>
  <c r="AF60" i="11"/>
  <c r="T60" i="11"/>
  <c r="AR60" i="11"/>
  <c r="M57" i="12"/>
  <c r="N57" i="12" s="1"/>
  <c r="D58" i="12"/>
  <c r="G58" i="12" s="1"/>
  <c r="H58" i="12" s="1"/>
  <c r="E58" i="12"/>
  <c r="B59" i="12"/>
  <c r="B66" i="17"/>
  <c r="F58" i="12"/>
  <c r="H156" i="17"/>
  <c r="Y156" i="17"/>
  <c r="B157" i="17"/>
  <c r="Y65" i="17"/>
  <c r="H65" i="17"/>
  <c r="J64" i="11"/>
  <c r="AF63" i="11"/>
  <c r="AL63" i="11"/>
  <c r="K63" i="11"/>
  <c r="T25" i="12" s="1"/>
  <c r="AX63" i="11"/>
  <c r="Z63" i="11"/>
  <c r="AR63" i="11"/>
  <c r="S25" i="12"/>
  <c r="T63" i="11"/>
  <c r="E123" i="11"/>
  <c r="E124" i="11"/>
  <c r="G202" i="11"/>
  <c r="G201" i="11"/>
  <c r="I201" i="11" s="1"/>
  <c r="G130" i="11"/>
  <c r="I130" i="11" s="1"/>
  <c r="G129" i="11"/>
  <c r="G131" i="11"/>
  <c r="K44" i="11"/>
  <c r="G145" i="11"/>
  <c r="G136" i="11"/>
  <c r="G140" i="11"/>
  <c r="G132" i="11"/>
  <c r="G142" i="11"/>
  <c r="G144" i="11"/>
  <c r="G138" i="11"/>
  <c r="G135" i="11"/>
  <c r="G143" i="11"/>
  <c r="G137" i="11"/>
  <c r="G133" i="11"/>
  <c r="G141" i="11"/>
  <c r="G134" i="11"/>
  <c r="G146" i="11"/>
  <c r="G139" i="11"/>
  <c r="G147" i="11"/>
  <c r="G148" i="11"/>
  <c r="G149" i="11"/>
  <c r="G179" i="11"/>
  <c r="G176" i="11"/>
  <c r="G171" i="11"/>
  <c r="G166" i="11"/>
  <c r="G152" i="11"/>
  <c r="G187" i="11"/>
  <c r="G170" i="11"/>
  <c r="G188" i="11"/>
  <c r="G150" i="11"/>
  <c r="G169" i="11"/>
  <c r="G158" i="11"/>
  <c r="G173" i="11"/>
  <c r="G180" i="11"/>
  <c r="G183" i="11"/>
  <c r="G175" i="11"/>
  <c r="G164" i="11"/>
  <c r="G161" i="11"/>
  <c r="G159" i="11"/>
  <c r="G151" i="11"/>
  <c r="G162" i="11"/>
  <c r="G184" i="11"/>
  <c r="G181" i="11"/>
  <c r="G178" i="11"/>
  <c r="G168" i="11"/>
  <c r="G160" i="11"/>
  <c r="G154" i="11"/>
  <c r="G186" i="11"/>
  <c r="G185" i="11"/>
  <c r="G157" i="11"/>
  <c r="G177" i="11"/>
  <c r="G153" i="11"/>
  <c r="G182" i="11"/>
  <c r="G172" i="11"/>
  <c r="G167" i="11"/>
  <c r="G156" i="11"/>
  <c r="G155" i="11"/>
  <c r="G165" i="11"/>
  <c r="G174" i="11"/>
  <c r="G163" i="11"/>
  <c r="R320" i="11"/>
  <c r="R274" i="11"/>
  <c r="R301" i="11"/>
  <c r="R292" i="11"/>
  <c r="R322" i="11"/>
  <c r="R273" i="11"/>
  <c r="R300" i="11"/>
  <c r="R281" i="11"/>
  <c r="R305" i="11"/>
  <c r="R314" i="11"/>
  <c r="R315" i="11"/>
  <c r="R280" i="11"/>
  <c r="R290" i="11"/>
  <c r="R317" i="11"/>
  <c r="R302" i="11"/>
  <c r="R289" i="11"/>
  <c r="R323" i="11"/>
  <c r="R325" i="11"/>
  <c r="R284" i="11"/>
  <c r="R299" i="11"/>
  <c r="R308" i="11"/>
  <c r="R318" i="11"/>
  <c r="R272" i="11"/>
  <c r="R316" i="11"/>
  <c r="R275" i="11"/>
  <c r="R279" i="11"/>
  <c r="R297" i="11"/>
  <c r="R296" i="11"/>
  <c r="R293" i="11"/>
  <c r="R321" i="11"/>
  <c r="R324" i="11"/>
  <c r="R283" i="11"/>
  <c r="R291" i="11"/>
  <c r="R310" i="11"/>
  <c r="R285" i="11"/>
  <c r="R327" i="11"/>
  <c r="R312" i="11"/>
  <c r="R328" i="11"/>
  <c r="R282" i="11"/>
  <c r="R330" i="11"/>
  <c r="R304" i="11"/>
  <c r="R307" i="11"/>
  <c r="R298" i="11"/>
  <c r="R309" i="11"/>
  <c r="R313" i="11"/>
  <c r="R319" i="11"/>
  <c r="R311" i="11"/>
  <c r="R278" i="11"/>
  <c r="R288" i="11"/>
  <c r="R303" i="11"/>
  <c r="R276" i="11"/>
  <c r="R271" i="11"/>
  <c r="S271" i="11" s="1"/>
  <c r="R287" i="11"/>
  <c r="R277" i="11"/>
  <c r="R326" i="11"/>
  <c r="R286" i="11"/>
  <c r="R295" i="11"/>
  <c r="R329" i="11"/>
  <c r="R306" i="11"/>
  <c r="R294" i="11"/>
  <c r="L44" i="11"/>
  <c r="G216" i="11"/>
  <c r="G212" i="11"/>
  <c r="G213" i="11"/>
  <c r="G208" i="11"/>
  <c r="G217" i="11"/>
  <c r="G215" i="11"/>
  <c r="G205" i="11"/>
  <c r="G210" i="11"/>
  <c r="G204" i="11"/>
  <c r="G214" i="11"/>
  <c r="G211" i="11"/>
  <c r="G203" i="11"/>
  <c r="G207" i="11"/>
  <c r="G206" i="11"/>
  <c r="G209" i="11"/>
  <c r="G218" i="11"/>
  <c r="G219" i="11"/>
  <c r="G220" i="11"/>
  <c r="G257" i="11"/>
  <c r="G239" i="11"/>
  <c r="G221" i="11"/>
  <c r="G258" i="11"/>
  <c r="G254" i="11"/>
  <c r="G252" i="11"/>
  <c r="G223" i="11"/>
  <c r="G237" i="11"/>
  <c r="G259" i="11"/>
  <c r="G248" i="11"/>
  <c r="G243" i="11"/>
  <c r="G224" i="11"/>
  <c r="G253" i="11"/>
  <c r="G242" i="11"/>
  <c r="G247" i="11"/>
  <c r="G244" i="11"/>
  <c r="G236" i="11"/>
  <c r="G233" i="11"/>
  <c r="G228" i="11"/>
  <c r="G255" i="11"/>
  <c r="G250" i="11"/>
  <c r="G234" i="11"/>
  <c r="G231" i="11"/>
  <c r="G226" i="11"/>
  <c r="G238" i="11"/>
  <c r="G251" i="11"/>
  <c r="G245" i="11"/>
  <c r="G240" i="11"/>
  <c r="G235" i="11"/>
  <c r="G229" i="11"/>
  <c r="G249" i="11"/>
  <c r="G246" i="11"/>
  <c r="G241" i="11"/>
  <c r="G230" i="11"/>
  <c r="G222" i="11"/>
  <c r="G256" i="11"/>
  <c r="G232" i="11"/>
  <c r="G225" i="11"/>
  <c r="G227" i="11"/>
  <c r="AP129" i="11"/>
  <c r="AQ129" i="11" s="1"/>
  <c r="AP155" i="11"/>
  <c r="AP179" i="11"/>
  <c r="AP185" i="11"/>
  <c r="AP158" i="11"/>
  <c r="AP149" i="11"/>
  <c r="AP141" i="11"/>
  <c r="AP135" i="11"/>
  <c r="AP167" i="11"/>
  <c r="AP130" i="11"/>
  <c r="AP174" i="11"/>
  <c r="AP145" i="11"/>
  <c r="AP186" i="11"/>
  <c r="AP154" i="11"/>
  <c r="AP171" i="11"/>
  <c r="AP178" i="11"/>
  <c r="AP188" i="11"/>
  <c r="AP131" i="11"/>
  <c r="AP187" i="11"/>
  <c r="AP165" i="11"/>
  <c r="AP133" i="11"/>
  <c r="AP132" i="11"/>
  <c r="AP151" i="11"/>
  <c r="AP162" i="11"/>
  <c r="AP139" i="11"/>
  <c r="AP177" i="11"/>
  <c r="AP144" i="11"/>
  <c r="AP184" i="11"/>
  <c r="AP153" i="11"/>
  <c r="AP182" i="11"/>
  <c r="AP214" i="11"/>
  <c r="AP217" i="11"/>
  <c r="AP230" i="11"/>
  <c r="AP220" i="11"/>
  <c r="AP219" i="11"/>
  <c r="AP204" i="11"/>
  <c r="AP211" i="11"/>
  <c r="AP208" i="11"/>
  <c r="AP244" i="11"/>
  <c r="AP202" i="11"/>
  <c r="AP248" i="11"/>
  <c r="AP203" i="11"/>
  <c r="AP236" i="11"/>
  <c r="AP257" i="11"/>
  <c r="AP142" i="11"/>
  <c r="AP138" i="11"/>
  <c r="AP164" i="11"/>
  <c r="AP173" i="11"/>
  <c r="AP170" i="11"/>
  <c r="AP146" i="11"/>
  <c r="AP181" i="11"/>
  <c r="AP143" i="11"/>
  <c r="AP160" i="11"/>
  <c r="AP166" i="11"/>
  <c r="AP147" i="11"/>
  <c r="AP140" i="11"/>
  <c r="AP137" i="11"/>
  <c r="AP163" i="11"/>
  <c r="AP172" i="11"/>
  <c r="AP256" i="11"/>
  <c r="AP159" i="11"/>
  <c r="AP175" i="11"/>
  <c r="AP180" i="11"/>
  <c r="AP200" i="11"/>
  <c r="AQ200" i="11" s="1"/>
  <c r="AP232" i="11"/>
  <c r="AP207" i="11"/>
  <c r="AP235" i="11"/>
  <c r="AP250" i="11"/>
  <c r="AP255" i="11"/>
  <c r="AP222" i="11"/>
  <c r="AP233" i="11"/>
  <c r="AP210" i="11"/>
  <c r="AP150" i="11"/>
  <c r="AP156" i="11"/>
  <c r="AP161" i="11"/>
  <c r="AP136" i="11"/>
  <c r="AP218" i="11"/>
  <c r="AP225" i="11"/>
  <c r="AP215" i="11"/>
  <c r="AP240" i="11"/>
  <c r="AP226" i="11"/>
  <c r="AP229" i="11"/>
  <c r="AP247" i="11"/>
  <c r="AP249" i="11"/>
  <c r="AP252" i="11"/>
  <c r="AP241" i="11"/>
  <c r="AP206" i="11"/>
  <c r="AP213" i="11"/>
  <c r="AP201" i="11"/>
  <c r="AP157" i="11"/>
  <c r="AP148" i="11"/>
  <c r="AP169" i="11"/>
  <c r="AP152" i="11"/>
  <c r="AP254" i="11"/>
  <c r="AP259" i="11"/>
  <c r="AP221" i="11"/>
  <c r="AP212" i="11"/>
  <c r="AP205" i="11"/>
  <c r="AP243" i="11"/>
  <c r="AP223" i="11"/>
  <c r="AP227" i="11"/>
  <c r="AP251" i="11"/>
  <c r="AP237" i="11"/>
  <c r="AP216" i="11"/>
  <c r="AP234" i="11"/>
  <c r="AP176" i="11"/>
  <c r="AP253" i="11"/>
  <c r="AP242" i="11"/>
  <c r="AP246" i="11"/>
  <c r="AP134" i="11"/>
  <c r="AP239" i="11"/>
  <c r="AP228" i="11"/>
  <c r="AP238" i="11"/>
  <c r="AP168" i="11"/>
  <c r="AP209" i="11"/>
  <c r="AP245" i="11"/>
  <c r="AP231" i="11"/>
  <c r="AP183" i="11"/>
  <c r="AP258" i="11"/>
  <c r="AP224" i="11"/>
  <c r="AD301" i="11"/>
  <c r="AD325" i="11"/>
  <c r="AD315" i="11"/>
  <c r="AD317" i="11"/>
  <c r="AD318" i="11"/>
  <c r="AD279" i="11"/>
  <c r="AD300" i="11"/>
  <c r="AD274" i="11"/>
  <c r="AD323" i="11"/>
  <c r="AD322" i="11"/>
  <c r="AD310" i="11"/>
  <c r="AD309" i="11"/>
  <c r="AD280" i="11"/>
  <c r="AD303" i="11"/>
  <c r="AD271" i="11"/>
  <c r="AD330" i="11"/>
  <c r="AD278" i="11"/>
  <c r="AD311" i="11"/>
  <c r="AD291" i="11"/>
  <c r="AD293" i="11"/>
  <c r="AD288" i="11"/>
  <c r="AD305" i="11"/>
  <c r="AD292" i="11"/>
  <c r="AD299" i="11"/>
  <c r="AD297" i="11"/>
  <c r="AD290" i="11"/>
  <c r="AD320" i="11"/>
  <c r="AD286" i="11"/>
  <c r="AD314" i="11"/>
  <c r="AD296" i="11"/>
  <c r="AD275" i="11"/>
  <c r="AD295" i="11"/>
  <c r="AD321" i="11"/>
  <c r="AD308" i="11"/>
  <c r="AD307" i="11"/>
  <c r="AD319" i="11"/>
  <c r="AD273" i="11"/>
  <c r="E266" i="11"/>
  <c r="M46" i="11" s="1"/>
  <c r="AD304" i="11"/>
  <c r="AD272" i="11"/>
  <c r="AD289" i="11"/>
  <c r="AD313" i="11"/>
  <c r="AD281" i="11"/>
  <c r="AD316" i="11"/>
  <c r="AD326" i="11"/>
  <c r="AD328" i="11"/>
  <c r="AD327" i="11"/>
  <c r="AD302" i="11"/>
  <c r="AD284" i="11"/>
  <c r="AD283" i="11"/>
  <c r="AD276" i="11"/>
  <c r="AD306" i="11"/>
  <c r="AD324" i="11"/>
  <c r="AD329" i="11"/>
  <c r="AD294" i="11"/>
  <c r="AD282" i="11"/>
  <c r="AD312" i="11"/>
  <c r="AD285" i="11"/>
  <c r="AD287" i="11"/>
  <c r="AD298" i="11"/>
  <c r="AD277" i="11"/>
  <c r="AJ326" i="11"/>
  <c r="AJ308" i="11"/>
  <c r="AJ286" i="11"/>
  <c r="AJ282" i="11"/>
  <c r="AJ273" i="11"/>
  <c r="AJ277" i="11"/>
  <c r="AJ301" i="11"/>
  <c r="AJ316" i="11"/>
  <c r="AJ328" i="11"/>
  <c r="AJ297" i="11"/>
  <c r="AJ271" i="11"/>
  <c r="AK271" i="11" s="1"/>
  <c r="AJ323" i="11"/>
  <c r="AJ285" i="11"/>
  <c r="AJ307" i="11"/>
  <c r="AJ324" i="11"/>
  <c r="AJ319" i="11"/>
  <c r="AJ312" i="11"/>
  <c r="AJ318" i="11"/>
  <c r="AJ294" i="11"/>
  <c r="AJ280" i="11"/>
  <c r="AJ287" i="11"/>
  <c r="AJ311" i="11"/>
  <c r="AJ321" i="11"/>
  <c r="AJ298" i="11"/>
  <c r="AJ290" i="11"/>
  <c r="AJ281" i="11"/>
  <c r="AJ278" i="11"/>
  <c r="AJ283" i="11"/>
  <c r="AJ300" i="11"/>
  <c r="AJ292" i="11"/>
  <c r="AJ272" i="11"/>
  <c r="AK272" i="11" s="1"/>
  <c r="AJ329" i="11"/>
  <c r="AJ305" i="11"/>
  <c r="AJ325" i="11"/>
  <c r="AJ296" i="11"/>
  <c r="AJ276" i="11"/>
  <c r="AJ309" i="11"/>
  <c r="AJ315" i="11"/>
  <c r="AJ279" i="11"/>
  <c r="AJ317" i="11"/>
  <c r="AJ313" i="11"/>
  <c r="AJ274" i="11"/>
  <c r="AJ299" i="11"/>
  <c r="AJ320" i="11"/>
  <c r="AJ288" i="11"/>
  <c r="AJ322" i="11"/>
  <c r="AJ275" i="11"/>
  <c r="AJ303" i="11"/>
  <c r="AJ330" i="11"/>
  <c r="AJ284" i="11"/>
  <c r="AJ293" i="11"/>
  <c r="AJ295" i="11"/>
  <c r="AJ314" i="11"/>
  <c r="AJ304" i="11"/>
  <c r="AJ306" i="11"/>
  <c r="AJ291" i="11"/>
  <c r="AJ327" i="11"/>
  <c r="AJ310" i="11"/>
  <c r="AJ289" i="11"/>
  <c r="AJ302" i="11"/>
  <c r="AV132" i="11"/>
  <c r="AV155" i="11"/>
  <c r="AV180" i="11"/>
  <c r="AV168" i="11"/>
  <c r="AV179" i="11"/>
  <c r="AV177" i="11"/>
  <c r="AV140" i="11"/>
  <c r="AV156" i="11"/>
  <c r="AV173" i="11"/>
  <c r="AV131" i="11"/>
  <c r="AV135" i="11"/>
  <c r="AV166" i="11"/>
  <c r="AV183" i="11"/>
  <c r="AV184" i="11"/>
  <c r="AV186" i="11"/>
  <c r="X181" i="11"/>
  <c r="X147" i="11"/>
  <c r="X184" i="11"/>
  <c r="X139" i="11"/>
  <c r="X172" i="11"/>
  <c r="X173" i="11"/>
  <c r="X183" i="11"/>
  <c r="X165" i="11"/>
  <c r="X141" i="11"/>
  <c r="X142" i="11"/>
  <c r="X132" i="11"/>
  <c r="X180" i="11"/>
  <c r="X149" i="11"/>
  <c r="X186" i="11"/>
  <c r="AV187" i="11"/>
  <c r="AV185" i="11"/>
  <c r="AV134" i="11"/>
  <c r="AV161" i="11"/>
  <c r="AV175" i="11"/>
  <c r="AV143" i="11"/>
  <c r="AV154" i="11"/>
  <c r="AV169" i="11"/>
  <c r="AV174" i="11"/>
  <c r="AV129" i="11"/>
  <c r="AW129" i="11" s="1"/>
  <c r="AV172" i="11"/>
  <c r="AV152" i="11"/>
  <c r="AV165" i="11"/>
  <c r="AV157" i="11"/>
  <c r="AV164" i="11"/>
  <c r="X148" i="11"/>
  <c r="X131" i="11"/>
  <c r="X166" i="11"/>
  <c r="X154" i="11"/>
  <c r="X171" i="11"/>
  <c r="X151" i="11"/>
  <c r="X163" i="11"/>
  <c r="X157" i="11"/>
  <c r="X155" i="11"/>
  <c r="X169" i="11"/>
  <c r="X187" i="11"/>
  <c r="X130" i="11"/>
  <c r="X160" i="11"/>
  <c r="X174" i="11"/>
  <c r="X159" i="11"/>
  <c r="X220" i="11"/>
  <c r="AV216" i="11"/>
  <c r="X244" i="11"/>
  <c r="X212" i="11"/>
  <c r="AV218" i="11"/>
  <c r="X210" i="11"/>
  <c r="AV241" i="11"/>
  <c r="X218" i="11"/>
  <c r="X232" i="11"/>
  <c r="AV256" i="11"/>
  <c r="X203" i="11"/>
  <c r="X233" i="11"/>
  <c r="AV239" i="11"/>
  <c r="X239" i="11"/>
  <c r="AV245" i="11"/>
  <c r="X202" i="11"/>
  <c r="AV259" i="11"/>
  <c r="X201" i="11"/>
  <c r="AV220" i="11"/>
  <c r="AV251" i="11"/>
  <c r="AV235" i="11"/>
  <c r="AV205" i="11"/>
  <c r="X204" i="11"/>
  <c r="AV247" i="11"/>
  <c r="AV214" i="11"/>
  <c r="AV136" i="11"/>
  <c r="AV146" i="11"/>
  <c r="AV163" i="11"/>
  <c r="AV170" i="11"/>
  <c r="AV153" i="11"/>
  <c r="AV133" i="11"/>
  <c r="AV138" i="11"/>
  <c r="AV167" i="11"/>
  <c r="AV144" i="11"/>
  <c r="AV142" i="11"/>
  <c r="AV162" i="11"/>
  <c r="AV159" i="11"/>
  <c r="AV160" i="11"/>
  <c r="AV147" i="11"/>
  <c r="AV151" i="11"/>
  <c r="X135" i="11"/>
  <c r="X167" i="11"/>
  <c r="X146" i="11"/>
  <c r="X188" i="11"/>
  <c r="X175" i="11"/>
  <c r="X152" i="11"/>
  <c r="X156" i="11"/>
  <c r="X185" i="11"/>
  <c r="X145" i="11"/>
  <c r="X158" i="11"/>
  <c r="X144" i="11"/>
  <c r="X136" i="11"/>
  <c r="X179" i="11"/>
  <c r="X153" i="11"/>
  <c r="X150" i="11"/>
  <c r="AV148" i="11"/>
  <c r="AV181" i="11"/>
  <c r="AV182" i="11"/>
  <c r="AV145" i="11"/>
  <c r="X134" i="11"/>
  <c r="X138" i="11"/>
  <c r="X143" i="11"/>
  <c r="X133" i="11"/>
  <c r="X238" i="11"/>
  <c r="X205" i="11"/>
  <c r="AV237" i="11"/>
  <c r="AV206" i="11"/>
  <c r="X226" i="11"/>
  <c r="X207" i="11"/>
  <c r="AV201" i="11"/>
  <c r="AV212" i="11"/>
  <c r="X250" i="11"/>
  <c r="AV254" i="11"/>
  <c r="X227" i="11"/>
  <c r="X249" i="11"/>
  <c r="AV257" i="11"/>
  <c r="X240" i="11"/>
  <c r="X255" i="11"/>
  <c r="AV242" i="11"/>
  <c r="AV240" i="11"/>
  <c r="X241" i="11"/>
  <c r="X246" i="11"/>
  <c r="X235" i="11"/>
  <c r="AV223" i="11"/>
  <c r="AV222" i="11"/>
  <c r="AV209" i="11"/>
  <c r="X251" i="11"/>
  <c r="AV137" i="11"/>
  <c r="AV130" i="11"/>
  <c r="AV158" i="11"/>
  <c r="AV149" i="11"/>
  <c r="X182" i="11"/>
  <c r="X177" i="11"/>
  <c r="X137" i="11"/>
  <c r="X162" i="11"/>
  <c r="AV211" i="11"/>
  <c r="X247" i="11"/>
  <c r="X217" i="11"/>
  <c r="X242" i="11"/>
  <c r="X230" i="11"/>
  <c r="AV258" i="11"/>
  <c r="AV221" i="11"/>
  <c r="AV231" i="11"/>
  <c r="X224" i="11"/>
  <c r="AV215" i="11"/>
  <c r="X245" i="11"/>
  <c r="AV238" i="11"/>
  <c r="X229" i="11"/>
  <c r="AV208" i="11"/>
  <c r="AV228" i="11"/>
  <c r="X206" i="11"/>
  <c r="AV224" i="11"/>
  <c r="X208" i="11"/>
  <c r="X237" i="11"/>
  <c r="AV200" i="11"/>
  <c r="AW200" i="11" s="1"/>
  <c r="X222" i="11"/>
  <c r="X254" i="11"/>
  <c r="AV253" i="11"/>
  <c r="AV229" i="11"/>
  <c r="AV178" i="11"/>
  <c r="AV150" i="11"/>
  <c r="AV176" i="11"/>
  <c r="AV171" i="11"/>
  <c r="X170" i="11"/>
  <c r="X161" i="11"/>
  <c r="X178" i="11"/>
  <c r="X164" i="11"/>
  <c r="X228" i="11"/>
  <c r="E194" i="11"/>
  <c r="L45" i="11" s="1"/>
  <c r="AV203" i="11"/>
  <c r="AV207" i="11"/>
  <c r="X221" i="11"/>
  <c r="AV213" i="11"/>
  <c r="AV217" i="11"/>
  <c r="X248" i="11"/>
  <c r="AV250" i="11"/>
  <c r="AV233" i="11"/>
  <c r="X215" i="11"/>
  <c r="AV210" i="11"/>
  <c r="AV252" i="11"/>
  <c r="X219" i="11"/>
  <c r="AV255" i="11"/>
  <c r="X259" i="11"/>
  <c r="X257" i="11"/>
  <c r="X211" i="11"/>
  <c r="AV234" i="11"/>
  <c r="AV227" i="11"/>
  <c r="X231" i="11"/>
  <c r="AV232" i="11"/>
  <c r="X253" i="11"/>
  <c r="AV141" i="11"/>
  <c r="X140" i="11"/>
  <c r="X209" i="11"/>
  <c r="X223" i="11"/>
  <c r="AV236" i="11"/>
  <c r="AV226" i="11"/>
  <c r="X256" i="11"/>
  <c r="X216" i="11"/>
  <c r="X234" i="11"/>
  <c r="AV188" i="11"/>
  <c r="X176" i="11"/>
  <c r="X214" i="11"/>
  <c r="AV243" i="11"/>
  <c r="AV249" i="11"/>
  <c r="X213" i="11"/>
  <c r="AV219" i="11"/>
  <c r="AV248" i="11"/>
  <c r="X225" i="11"/>
  <c r="X129" i="11"/>
  <c r="Y129" i="11" s="1"/>
  <c r="X252" i="11"/>
  <c r="AV225" i="11"/>
  <c r="X200" i="11"/>
  <c r="Y200" i="11" s="1"/>
  <c r="X243" i="11"/>
  <c r="AV244" i="11"/>
  <c r="AV202" i="11"/>
  <c r="X168" i="11"/>
  <c r="X258" i="11"/>
  <c r="X236" i="11"/>
  <c r="AV230" i="11"/>
  <c r="AV204" i="11"/>
  <c r="AV139" i="11"/>
  <c r="AV246" i="11"/>
  <c r="C557" i="11"/>
  <c r="B164" i="8"/>
  <c r="X287" i="11"/>
  <c r="X274" i="11"/>
  <c r="X319" i="11"/>
  <c r="X306" i="11"/>
  <c r="X276" i="11"/>
  <c r="X297" i="11"/>
  <c r="X317" i="11"/>
  <c r="X308" i="11"/>
  <c r="X298" i="11"/>
  <c r="X281" i="11"/>
  <c r="X277" i="11"/>
  <c r="X314" i="11"/>
  <c r="X295" i="11"/>
  <c r="X294" i="11"/>
  <c r="X290" i="11"/>
  <c r="X321" i="11"/>
  <c r="X289" i="11"/>
  <c r="X310" i="11"/>
  <c r="X302" i="11"/>
  <c r="X293" i="11"/>
  <c r="X326" i="11"/>
  <c r="X286" i="11"/>
  <c r="X315" i="11"/>
  <c r="X313" i="11"/>
  <c r="X282" i="11"/>
  <c r="X309" i="11"/>
  <c r="X323" i="11"/>
  <c r="X275" i="11"/>
  <c r="X328" i="11"/>
  <c r="X316" i="11"/>
  <c r="X273" i="11"/>
  <c r="E265" i="11"/>
  <c r="M45" i="11" s="1"/>
  <c r="X301" i="11"/>
  <c r="X300" i="11"/>
  <c r="X292" i="11"/>
  <c r="X279" i="11"/>
  <c r="X311" i="11"/>
  <c r="X291" i="11"/>
  <c r="X307" i="11"/>
  <c r="X312" i="11"/>
  <c r="X324" i="11"/>
  <c r="X329" i="11"/>
  <c r="X320" i="11"/>
  <c r="X296" i="11"/>
  <c r="X283" i="11"/>
  <c r="X304" i="11"/>
  <c r="X285" i="11"/>
  <c r="X330" i="11"/>
  <c r="X272" i="11"/>
  <c r="X284" i="11"/>
  <c r="X280" i="11"/>
  <c r="X299" i="11"/>
  <c r="X303" i="11"/>
  <c r="X305" i="11"/>
  <c r="X327" i="11"/>
  <c r="X325" i="11"/>
  <c r="X288" i="11"/>
  <c r="X278" i="11"/>
  <c r="X318" i="11"/>
  <c r="X271" i="11"/>
  <c r="Y271" i="11" s="1"/>
  <c r="X322" i="11"/>
  <c r="AP276" i="11"/>
  <c r="AP318" i="11"/>
  <c r="AP329" i="11"/>
  <c r="AP323" i="11"/>
  <c r="AP316" i="11"/>
  <c r="AP320" i="11"/>
  <c r="AP313" i="11"/>
  <c r="AP310" i="11"/>
  <c r="AP289" i="11"/>
  <c r="AP273" i="11"/>
  <c r="AP325" i="11"/>
  <c r="AP314" i="11"/>
  <c r="AP307" i="11"/>
  <c r="AP272" i="11"/>
  <c r="AP275" i="11"/>
  <c r="AP287" i="11"/>
  <c r="AP330" i="11"/>
  <c r="AP278" i="11"/>
  <c r="AP327" i="11"/>
  <c r="AP294" i="11"/>
  <c r="AP285" i="11"/>
  <c r="AP324" i="11"/>
  <c r="AP271" i="11"/>
  <c r="AQ271" i="11" s="1"/>
  <c r="AP301" i="11"/>
  <c r="AP317" i="11"/>
  <c r="AP290" i="11"/>
  <c r="AP319" i="11"/>
  <c r="AP309" i="11"/>
  <c r="AP302" i="11"/>
  <c r="AP312" i="11"/>
  <c r="AP300" i="11"/>
  <c r="AP293" i="11"/>
  <c r="AP281" i="11"/>
  <c r="AP322" i="11"/>
  <c r="AP292" i="11"/>
  <c r="AP306" i="11"/>
  <c r="AP321" i="11"/>
  <c r="AP280" i="11"/>
  <c r="AP295" i="11"/>
  <c r="AP277" i="11"/>
  <c r="AP305" i="11"/>
  <c r="AP308" i="11"/>
  <c r="AP288" i="11"/>
  <c r="AP328" i="11"/>
  <c r="AP274" i="11"/>
  <c r="AP291" i="11"/>
  <c r="AP282" i="11"/>
  <c r="AP304" i="11"/>
  <c r="AP311" i="11"/>
  <c r="AP303" i="11"/>
  <c r="AP286" i="11"/>
  <c r="AP298" i="11"/>
  <c r="AP283" i="11"/>
  <c r="AP296" i="11"/>
  <c r="AP326" i="11"/>
  <c r="AP284" i="11"/>
  <c r="AP315" i="11"/>
  <c r="AP279" i="11"/>
  <c r="AP299" i="11"/>
  <c r="AP297" i="11"/>
  <c r="AD147" i="11"/>
  <c r="AD148" i="11"/>
  <c r="AD179" i="11"/>
  <c r="AD180" i="11"/>
  <c r="AD130" i="11"/>
  <c r="AD154" i="11"/>
  <c r="AD161" i="11"/>
  <c r="AD163" i="11"/>
  <c r="AD157" i="11"/>
  <c r="AD182" i="11"/>
  <c r="AD165" i="11"/>
  <c r="AD159" i="11"/>
  <c r="AD150" i="11"/>
  <c r="AD145" i="11"/>
  <c r="AD167" i="11"/>
  <c r="AD135" i="11"/>
  <c r="AD142" i="11"/>
  <c r="AD138" i="11"/>
  <c r="AD174" i="11"/>
  <c r="AD158" i="11"/>
  <c r="AD171" i="11"/>
  <c r="AD187" i="11"/>
  <c r="AD131" i="11"/>
  <c r="AD151" i="11"/>
  <c r="AD184" i="11"/>
  <c r="AD188" i="11"/>
  <c r="AD136" i="11"/>
  <c r="AD149" i="11"/>
  <c r="AD181" i="11"/>
  <c r="AD152" i="11"/>
  <c r="AD237" i="11"/>
  <c r="AD254" i="11"/>
  <c r="AD205" i="11"/>
  <c r="AD255" i="11"/>
  <c r="AD203" i="11"/>
  <c r="AD238" i="11"/>
  <c r="AD234" i="11"/>
  <c r="AD201" i="11"/>
  <c r="AD240" i="11"/>
  <c r="AD250" i="11"/>
  <c r="AD244" i="11"/>
  <c r="AD236" i="11"/>
  <c r="AD209" i="11"/>
  <c r="AD223" i="11"/>
  <c r="AD133" i="11"/>
  <c r="AD146" i="11"/>
  <c r="AD175" i="11"/>
  <c r="AD168" i="11"/>
  <c r="AD186" i="11"/>
  <c r="AD169" i="11"/>
  <c r="AD185" i="11"/>
  <c r="AD173" i="11"/>
  <c r="AD162" i="11"/>
  <c r="AD166" i="11"/>
  <c r="AD178" i="11"/>
  <c r="AD141" i="11"/>
  <c r="AD137" i="11"/>
  <c r="AD172" i="11"/>
  <c r="AD183" i="11"/>
  <c r="AD144" i="11"/>
  <c r="AD160" i="11"/>
  <c r="AD140" i="11"/>
  <c r="AD232" i="11"/>
  <c r="AD221" i="11"/>
  <c r="AD222" i="11"/>
  <c r="AD207" i="11"/>
  <c r="AD242" i="11"/>
  <c r="AD245" i="11"/>
  <c r="AD257" i="11"/>
  <c r="AD251" i="11"/>
  <c r="AD200" i="11"/>
  <c r="AD220" i="11"/>
  <c r="AD243" i="11"/>
  <c r="AD216" i="11"/>
  <c r="AD215" i="11"/>
  <c r="AD139" i="11"/>
  <c r="AD170" i="11"/>
  <c r="AD164" i="11"/>
  <c r="AD176" i="11"/>
  <c r="AD258" i="11"/>
  <c r="AD256" i="11"/>
  <c r="AD235" i="11"/>
  <c r="AD227" i="11"/>
  <c r="AD204" i="11"/>
  <c r="AD259" i="11"/>
  <c r="AD246" i="11"/>
  <c r="AD230" i="11"/>
  <c r="E195" i="11"/>
  <c r="L46" i="11" s="1"/>
  <c r="AD253" i="11"/>
  <c r="AD252" i="11"/>
  <c r="AD210" i="11"/>
  <c r="AD212" i="11"/>
  <c r="AD214" i="11"/>
  <c r="AD177" i="11"/>
  <c r="AD132" i="11"/>
  <c r="AD153" i="11"/>
  <c r="AD134" i="11"/>
  <c r="AD229" i="11"/>
  <c r="AD225" i="11"/>
  <c r="AD202" i="11"/>
  <c r="AD206" i="11"/>
  <c r="AD233" i="11"/>
  <c r="AD226" i="11"/>
  <c r="AD248" i="11"/>
  <c r="AD217" i="11"/>
  <c r="AD211" i="11"/>
  <c r="AD129" i="11"/>
  <c r="AD247" i="11"/>
  <c r="AD208" i="11"/>
  <c r="AD231" i="11"/>
  <c r="AD218" i="11"/>
  <c r="AD155" i="11"/>
  <c r="AD239" i="11"/>
  <c r="AD241" i="11"/>
  <c r="AD249" i="11"/>
  <c r="AD143" i="11"/>
  <c r="AD224" i="11"/>
  <c r="AD213" i="11"/>
  <c r="AD228" i="11"/>
  <c r="AD219" i="11"/>
  <c r="AD156" i="11"/>
  <c r="AJ134" i="11"/>
  <c r="AJ187" i="11"/>
  <c r="AJ160" i="11"/>
  <c r="AJ176" i="11"/>
  <c r="AJ131" i="11"/>
  <c r="AJ182" i="11"/>
  <c r="AJ153" i="11"/>
  <c r="AJ163" i="11"/>
  <c r="AJ166" i="11"/>
  <c r="AJ143" i="11"/>
  <c r="AJ178" i="11"/>
  <c r="AJ130" i="11"/>
  <c r="AJ140" i="11"/>
  <c r="AJ168" i="11"/>
  <c r="AJ174" i="11"/>
  <c r="AJ221" i="11"/>
  <c r="AJ144" i="11"/>
  <c r="AJ132" i="11"/>
  <c r="AJ171" i="11"/>
  <c r="AJ155" i="11"/>
  <c r="AJ180" i="11"/>
  <c r="AJ170" i="11"/>
  <c r="AJ147" i="11"/>
  <c r="AJ151" i="11"/>
  <c r="AJ184" i="11"/>
  <c r="AJ185" i="11"/>
  <c r="AJ148" i="11"/>
  <c r="AJ137" i="11"/>
  <c r="AJ146" i="11"/>
  <c r="AJ138" i="11"/>
  <c r="AJ154" i="11"/>
  <c r="AJ256" i="11"/>
  <c r="AJ207" i="11"/>
  <c r="AJ257" i="11"/>
  <c r="AJ219" i="11"/>
  <c r="AJ235" i="11"/>
  <c r="AJ236" i="11"/>
  <c r="AJ216" i="11"/>
  <c r="AJ252" i="11"/>
  <c r="AJ248" i="11"/>
  <c r="AJ215" i="11"/>
  <c r="AJ243" i="11"/>
  <c r="AJ209" i="11"/>
  <c r="AJ247" i="11"/>
  <c r="AJ234" i="11"/>
  <c r="AJ238" i="11"/>
  <c r="AJ233" i="11"/>
  <c r="AJ258" i="11"/>
  <c r="AJ177" i="11"/>
  <c r="AJ139" i="11"/>
  <c r="AJ179" i="11"/>
  <c r="AJ158" i="11"/>
  <c r="AJ181" i="11"/>
  <c r="AJ159" i="11"/>
  <c r="AJ188" i="11"/>
  <c r="AJ186" i="11"/>
  <c r="AJ162" i="11"/>
  <c r="AJ167" i="11"/>
  <c r="AJ129" i="11"/>
  <c r="AK129" i="11" s="1"/>
  <c r="AJ173" i="11"/>
  <c r="AJ183" i="11"/>
  <c r="AJ169" i="11"/>
  <c r="AJ156" i="11"/>
  <c r="AJ172" i="11"/>
  <c r="AJ149" i="11"/>
  <c r="AJ161" i="11"/>
  <c r="AJ175" i="11"/>
  <c r="AJ241" i="11"/>
  <c r="AJ225" i="11"/>
  <c r="AJ210" i="11"/>
  <c r="AJ232" i="11"/>
  <c r="AJ231" i="11"/>
  <c r="AJ255" i="11"/>
  <c r="AJ214" i="11"/>
  <c r="AJ250" i="11"/>
  <c r="AJ222" i="11"/>
  <c r="AJ229" i="11"/>
  <c r="AJ165" i="11"/>
  <c r="AJ164" i="11"/>
  <c r="AJ136" i="11"/>
  <c r="AJ224" i="11"/>
  <c r="AJ218" i="11"/>
  <c r="AJ200" i="11"/>
  <c r="AK200" i="11" s="1"/>
  <c r="AJ230" i="11"/>
  <c r="AJ259" i="11"/>
  <c r="AJ203" i="11"/>
  <c r="AJ245" i="11"/>
  <c r="AJ213" i="11"/>
  <c r="AJ211" i="11"/>
  <c r="AJ254" i="11"/>
  <c r="AJ237" i="11"/>
  <c r="AJ135" i="11"/>
  <c r="AJ133" i="11"/>
  <c r="AJ141" i="11"/>
  <c r="AJ152" i="11"/>
  <c r="AJ240" i="11"/>
  <c r="AJ202" i="11"/>
  <c r="AJ249" i="11"/>
  <c r="AJ208" i="11"/>
  <c r="AJ220" i="11"/>
  <c r="AJ227" i="11"/>
  <c r="AJ226" i="11"/>
  <c r="AJ204" i="11"/>
  <c r="AJ228" i="11"/>
  <c r="AJ217" i="11"/>
  <c r="AJ145" i="11"/>
  <c r="AJ246" i="11"/>
  <c r="AJ244" i="11"/>
  <c r="AJ150" i="11"/>
  <c r="AJ205" i="11"/>
  <c r="AJ239" i="11"/>
  <c r="AJ223" i="11"/>
  <c r="AJ142" i="11"/>
  <c r="AJ201" i="11"/>
  <c r="AJ242" i="11"/>
  <c r="AJ253" i="11"/>
  <c r="AJ206" i="11"/>
  <c r="AJ251" i="11"/>
  <c r="AJ157" i="11"/>
  <c r="AJ212" i="11"/>
  <c r="G287" i="11"/>
  <c r="G275" i="11"/>
  <c r="G274" i="11"/>
  <c r="G277" i="11"/>
  <c r="G284" i="11"/>
  <c r="G286" i="11"/>
  <c r="G283" i="11"/>
  <c r="G278" i="11"/>
  <c r="G281" i="11"/>
  <c r="G279" i="11"/>
  <c r="G285" i="11"/>
  <c r="G280" i="11"/>
  <c r="G271" i="11"/>
  <c r="G272" i="11"/>
  <c r="I272" i="11" s="1"/>
  <c r="G282" i="11"/>
  <c r="G288" i="11"/>
  <c r="G276" i="11"/>
  <c r="G273" i="11"/>
  <c r="G289" i="11"/>
  <c r="G290" i="11"/>
  <c r="G291" i="11"/>
  <c r="G316" i="11"/>
  <c r="G305" i="11"/>
  <c r="G302" i="11"/>
  <c r="G300" i="11"/>
  <c r="G297" i="11"/>
  <c r="G323" i="11"/>
  <c r="G317" i="11"/>
  <c r="G307" i="11"/>
  <c r="G301" i="11"/>
  <c r="G295" i="11"/>
  <c r="G318" i="11"/>
  <c r="G314" i="11"/>
  <c r="G303" i="11"/>
  <c r="G320" i="11"/>
  <c r="G292" i="11"/>
  <c r="G326" i="11"/>
  <c r="G327" i="11"/>
  <c r="G322" i="11"/>
  <c r="G311" i="11"/>
  <c r="G309" i="11"/>
  <c r="G298" i="11"/>
  <c r="G328" i="11"/>
  <c r="G312" i="11"/>
  <c r="G294" i="11"/>
  <c r="G315" i="11"/>
  <c r="G313" i="11"/>
  <c r="G319" i="11"/>
  <c r="G330" i="11"/>
  <c r="G324" i="11"/>
  <c r="G306" i="11"/>
  <c r="G304" i="11"/>
  <c r="G296" i="11"/>
  <c r="G321" i="11"/>
  <c r="G293" i="11"/>
  <c r="G329" i="11"/>
  <c r="G325" i="11"/>
  <c r="G310" i="11"/>
  <c r="G299" i="11"/>
  <c r="G308" i="11"/>
  <c r="AV323" i="11"/>
  <c r="AV293" i="11"/>
  <c r="AV290" i="11"/>
  <c r="AV317" i="11"/>
  <c r="AV280" i="11"/>
  <c r="AV327" i="11"/>
  <c r="AV307" i="11"/>
  <c r="AV274" i="11"/>
  <c r="AV324" i="11"/>
  <c r="AV300" i="11"/>
  <c r="AV305" i="11"/>
  <c r="AV286" i="11"/>
  <c r="AV309" i="11"/>
  <c r="AV299" i="11"/>
  <c r="AV315" i="11"/>
  <c r="AV321" i="11"/>
  <c r="AV301" i="11"/>
  <c r="AV314" i="11"/>
  <c r="AV325" i="11"/>
  <c r="AV294" i="11"/>
  <c r="AV304" i="11"/>
  <c r="AV320" i="11"/>
  <c r="AV303" i="11"/>
  <c r="AV284" i="11"/>
  <c r="AV312" i="11"/>
  <c r="AV292" i="11"/>
  <c r="AV328" i="11"/>
  <c r="AV282" i="11"/>
  <c r="AV291" i="11"/>
  <c r="AV285" i="11"/>
  <c r="AV330" i="11"/>
  <c r="AV276" i="11"/>
  <c r="AV279" i="11"/>
  <c r="AV322" i="11"/>
  <c r="AV289" i="11"/>
  <c r="AV319" i="11"/>
  <c r="AV329" i="11"/>
  <c r="AV278" i="11"/>
  <c r="AV273" i="11"/>
  <c r="AV318" i="11"/>
  <c r="AV316" i="11"/>
  <c r="AV297" i="11"/>
  <c r="AV288" i="11"/>
  <c r="AV302" i="11"/>
  <c r="AV310" i="11"/>
  <c r="AV271" i="11"/>
  <c r="AW271" i="11" s="1"/>
  <c r="AV277" i="11"/>
  <c r="AV295" i="11"/>
  <c r="AV306" i="11"/>
  <c r="AV281" i="11"/>
  <c r="AV313" i="11"/>
  <c r="AV308" i="11"/>
  <c r="AV326" i="11"/>
  <c r="AV298" i="11"/>
  <c r="AV287" i="11"/>
  <c r="AV272" i="11"/>
  <c r="AV296" i="11"/>
  <c r="AV283" i="11"/>
  <c r="AV275" i="11"/>
  <c r="AV311" i="11"/>
  <c r="R147" i="11"/>
  <c r="R150" i="11"/>
  <c r="R169" i="11"/>
  <c r="R183" i="11"/>
  <c r="R142" i="11"/>
  <c r="R144" i="11"/>
  <c r="R188" i="11"/>
  <c r="R172" i="11"/>
  <c r="R130" i="11"/>
  <c r="R176" i="11"/>
  <c r="R165" i="11"/>
  <c r="R164" i="11"/>
  <c r="R149" i="11"/>
  <c r="R153" i="11"/>
  <c r="R177" i="11"/>
  <c r="R232" i="11"/>
  <c r="R158" i="11"/>
  <c r="R185" i="11"/>
  <c r="R135" i="11"/>
  <c r="R162" i="11"/>
  <c r="R187" i="11"/>
  <c r="R186" i="11"/>
  <c r="R140" i="11"/>
  <c r="R129" i="11"/>
  <c r="S129" i="11" s="1"/>
  <c r="R171" i="11"/>
  <c r="R174" i="11"/>
  <c r="R173" i="11"/>
  <c r="R156" i="11"/>
  <c r="R170" i="11"/>
  <c r="R175" i="11"/>
  <c r="R139" i="11"/>
  <c r="R143" i="11"/>
  <c r="R223" i="11"/>
  <c r="R236" i="11"/>
  <c r="R217" i="11"/>
  <c r="R235" i="11"/>
  <c r="R242" i="11"/>
  <c r="R234" i="11"/>
  <c r="R224" i="11"/>
  <c r="R233" i="11"/>
  <c r="R244" i="11"/>
  <c r="R203" i="11"/>
  <c r="R216" i="11"/>
  <c r="R205" i="11"/>
  <c r="R206" i="11"/>
  <c r="R243" i="11"/>
  <c r="R225" i="11"/>
  <c r="R148" i="11"/>
  <c r="R151" i="11"/>
  <c r="R180" i="11"/>
  <c r="R160" i="11"/>
  <c r="R166" i="11"/>
  <c r="R178" i="11"/>
  <c r="R146" i="11"/>
  <c r="R152" i="11"/>
  <c r="R134" i="11"/>
  <c r="R155" i="11"/>
  <c r="R136" i="11"/>
  <c r="R145" i="11"/>
  <c r="R133" i="11"/>
  <c r="R179" i="11"/>
  <c r="R138" i="11"/>
  <c r="R132" i="11"/>
  <c r="R181" i="11"/>
  <c r="R154" i="11"/>
  <c r="R209" i="11"/>
  <c r="R247" i="11"/>
  <c r="R241" i="11"/>
  <c r="R208" i="11"/>
  <c r="R227" i="11"/>
  <c r="R212" i="11"/>
  <c r="R249" i="11"/>
  <c r="R246" i="11"/>
  <c r="R214" i="11"/>
  <c r="R237" i="11"/>
  <c r="R250" i="11"/>
  <c r="R131" i="11"/>
  <c r="R182" i="11"/>
  <c r="R157" i="11"/>
  <c r="R159" i="11"/>
  <c r="R210" i="11"/>
  <c r="R239" i="11"/>
  <c r="R211" i="11"/>
  <c r="R230" i="11"/>
  <c r="R220" i="11"/>
  <c r="R255" i="11"/>
  <c r="R248" i="11"/>
  <c r="R240" i="11"/>
  <c r="R231" i="11"/>
  <c r="R221" i="11"/>
  <c r="R253" i="11"/>
  <c r="R222" i="11"/>
  <c r="R167" i="11"/>
  <c r="R161" i="11"/>
  <c r="R184" i="11"/>
  <c r="R245" i="11"/>
  <c r="R218" i="11"/>
  <c r="R215" i="11"/>
  <c r="R238" i="11"/>
  <c r="R251" i="11"/>
  <c r="R204" i="11"/>
  <c r="R207" i="11"/>
  <c r="R226" i="11"/>
  <c r="R254" i="11"/>
  <c r="R202" i="11"/>
  <c r="R201" i="11"/>
  <c r="R168" i="11"/>
  <c r="R213" i="11"/>
  <c r="R257" i="11"/>
  <c r="R229" i="11"/>
  <c r="R256" i="11"/>
  <c r="R141" i="11"/>
  <c r="R252" i="11"/>
  <c r="R137" i="11"/>
  <c r="R200" i="11"/>
  <c r="S200" i="11" s="1"/>
  <c r="R219" i="11"/>
  <c r="R228" i="11"/>
  <c r="R258" i="11"/>
  <c r="R259" i="11"/>
  <c r="R163" i="11"/>
  <c r="AF61" i="11" l="1"/>
  <c r="AL61" i="11"/>
  <c r="K61" i="11"/>
  <c r="T23" i="12" s="1"/>
  <c r="T61" i="11"/>
  <c r="S23" i="12"/>
  <c r="AR61" i="11"/>
  <c r="AX61" i="11"/>
  <c r="Z61" i="11"/>
  <c r="M58" i="12"/>
  <c r="N58" i="12" s="1"/>
  <c r="H157" i="17"/>
  <c r="Y157" i="17"/>
  <c r="B158" i="17"/>
  <c r="H66" i="17"/>
  <c r="Y66" i="17"/>
  <c r="B67" i="17"/>
  <c r="B60" i="12"/>
  <c r="F59" i="12"/>
  <c r="E59" i="12"/>
  <c r="D59" i="12"/>
  <c r="G59" i="12" s="1"/>
  <c r="H59" i="12" s="1"/>
  <c r="AF64" i="11"/>
  <c r="AX64" i="11"/>
  <c r="T64" i="11"/>
  <c r="S26" i="12"/>
  <c r="J65" i="11"/>
  <c r="AL64" i="11"/>
  <c r="Z64" i="11"/>
  <c r="AR64" i="11"/>
  <c r="K64" i="11"/>
  <c r="T26" i="12" s="1"/>
  <c r="K45" i="11"/>
  <c r="K46" i="11" s="1"/>
  <c r="M200" i="11"/>
  <c r="M129" i="11"/>
  <c r="M271" i="11"/>
  <c r="I131" i="11"/>
  <c r="I132" i="11" s="1"/>
  <c r="I133" i="11" s="1"/>
  <c r="I134" i="11" s="1"/>
  <c r="I135" i="11" s="1"/>
  <c r="I136" i="11" s="1"/>
  <c r="I137" i="11" s="1"/>
  <c r="I138" i="11" s="1"/>
  <c r="I139" i="11" s="1"/>
  <c r="I140" i="11" s="1"/>
  <c r="I141" i="11" s="1"/>
  <c r="I142" i="11" s="1"/>
  <c r="I143" i="11" s="1"/>
  <c r="I144" i="11" s="1"/>
  <c r="I145" i="11" s="1"/>
  <c r="I146" i="11" s="1"/>
  <c r="I147" i="11" s="1"/>
  <c r="I148" i="11" s="1"/>
  <c r="I149" i="11" s="1"/>
  <c r="I150" i="11" s="1"/>
  <c r="I151" i="11" s="1"/>
  <c r="I152" i="11" s="1"/>
  <c r="I153" i="11" s="1"/>
  <c r="I154" i="11" s="1"/>
  <c r="I155" i="11" s="1"/>
  <c r="I156" i="11" s="1"/>
  <c r="I157" i="11" s="1"/>
  <c r="I158" i="11" s="1"/>
  <c r="I159" i="11" s="1"/>
  <c r="I160" i="11" s="1"/>
  <c r="I161" i="11" s="1"/>
  <c r="I162" i="11" s="1"/>
  <c r="I163" i="11" s="1"/>
  <c r="I164" i="11" s="1"/>
  <c r="I165" i="11" s="1"/>
  <c r="I166" i="11" s="1"/>
  <c r="I167" i="11" s="1"/>
  <c r="I168" i="11" s="1"/>
  <c r="I169" i="11" s="1"/>
  <c r="I170" i="11" s="1"/>
  <c r="I171" i="11" s="1"/>
  <c r="I172" i="11" s="1"/>
  <c r="I173" i="11" s="1"/>
  <c r="I174" i="11" s="1"/>
  <c r="I175" i="11" s="1"/>
  <c r="I176" i="11" s="1"/>
  <c r="I177" i="11" s="1"/>
  <c r="I178" i="11" s="1"/>
  <c r="I179" i="11" s="1"/>
  <c r="I180" i="11" s="1"/>
  <c r="I181" i="11" s="1"/>
  <c r="I182" i="11" s="1"/>
  <c r="I183" i="11" s="1"/>
  <c r="I184" i="11" s="1"/>
  <c r="I185" i="11" s="1"/>
  <c r="I186" i="11" s="1"/>
  <c r="I187" i="11" s="1"/>
  <c r="I188" i="11" s="1"/>
  <c r="I202" i="11"/>
  <c r="I203" i="11" s="1"/>
  <c r="I204" i="11" s="1"/>
  <c r="I205" i="11" s="1"/>
  <c r="I206" i="11" s="1"/>
  <c r="I207" i="11" s="1"/>
  <c r="I208" i="11" s="1"/>
  <c r="I209" i="11" s="1"/>
  <c r="I210" i="11" s="1"/>
  <c r="I211" i="11" s="1"/>
  <c r="I212" i="11" s="1"/>
  <c r="I213" i="11" s="1"/>
  <c r="I214" i="11" s="1"/>
  <c r="I215" i="11" s="1"/>
  <c r="I216" i="11" s="1"/>
  <c r="I217" i="11" s="1"/>
  <c r="I218" i="11" s="1"/>
  <c r="I219" i="11" s="1"/>
  <c r="I220" i="11" s="1"/>
  <c r="I221" i="11" s="1"/>
  <c r="I222" i="11" s="1"/>
  <c r="I223" i="11" s="1"/>
  <c r="I224" i="11" s="1"/>
  <c r="I225" i="11" s="1"/>
  <c r="I226" i="11" s="1"/>
  <c r="I227" i="11" s="1"/>
  <c r="I228" i="11" s="1"/>
  <c r="I229" i="11" s="1"/>
  <c r="I230" i="11" s="1"/>
  <c r="I231" i="11" s="1"/>
  <c r="I232" i="11" s="1"/>
  <c r="I233" i="11" s="1"/>
  <c r="I234" i="11" s="1"/>
  <c r="I235" i="11" s="1"/>
  <c r="I236" i="11" s="1"/>
  <c r="I237" i="11" s="1"/>
  <c r="I238" i="11" s="1"/>
  <c r="I239" i="11" s="1"/>
  <c r="I240" i="11" s="1"/>
  <c r="I241" i="11" s="1"/>
  <c r="I242" i="11" s="1"/>
  <c r="I243" i="11" s="1"/>
  <c r="I244" i="11" s="1"/>
  <c r="I245" i="11" s="1"/>
  <c r="I246" i="11" s="1"/>
  <c r="I247" i="11" s="1"/>
  <c r="I248" i="11" s="1"/>
  <c r="I249" i="11" s="1"/>
  <c r="I250" i="11" s="1"/>
  <c r="I251" i="11" s="1"/>
  <c r="I252" i="11" s="1"/>
  <c r="I253" i="11" s="1"/>
  <c r="I254" i="11" s="1"/>
  <c r="I255" i="11" s="1"/>
  <c r="I256" i="11" s="1"/>
  <c r="I257" i="11" s="1"/>
  <c r="I258" i="11" s="1"/>
  <c r="I259" i="11" s="1"/>
  <c r="I273" i="11"/>
  <c r="I274" i="11" s="1"/>
  <c r="I275" i="11" s="1"/>
  <c r="I276" i="11" s="1"/>
  <c r="I277" i="11" s="1"/>
  <c r="I278" i="11" s="1"/>
  <c r="I279" i="11" s="1"/>
  <c r="I280" i="11" s="1"/>
  <c r="I281" i="11" s="1"/>
  <c r="I282" i="11" s="1"/>
  <c r="I283" i="11" s="1"/>
  <c r="I284" i="11" s="1"/>
  <c r="I285" i="11" s="1"/>
  <c r="I286" i="11" s="1"/>
  <c r="I287" i="11" s="1"/>
  <c r="I288" i="11" s="1"/>
  <c r="I289" i="11" s="1"/>
  <c r="I290" i="11" s="1"/>
  <c r="I291" i="11" s="1"/>
  <c r="I292" i="11" s="1"/>
  <c r="I293" i="11" s="1"/>
  <c r="I294" i="11" s="1"/>
  <c r="I295" i="11" s="1"/>
  <c r="I296" i="11" s="1"/>
  <c r="I297" i="11" s="1"/>
  <c r="I298" i="11" s="1"/>
  <c r="I299" i="11" s="1"/>
  <c r="I300" i="11" s="1"/>
  <c r="I301" i="11" s="1"/>
  <c r="I302" i="11" s="1"/>
  <c r="I303" i="11" s="1"/>
  <c r="I304" i="11" s="1"/>
  <c r="I305" i="11" s="1"/>
  <c r="I306" i="11" s="1"/>
  <c r="I307" i="11" s="1"/>
  <c r="I308" i="11" s="1"/>
  <c r="I309" i="11" s="1"/>
  <c r="I310" i="11" s="1"/>
  <c r="I311" i="11" s="1"/>
  <c r="I312" i="11" s="1"/>
  <c r="I313" i="11" s="1"/>
  <c r="I314" i="11" s="1"/>
  <c r="I315" i="11" s="1"/>
  <c r="I316" i="11" s="1"/>
  <c r="I317" i="11" s="1"/>
  <c r="I318" i="11" s="1"/>
  <c r="I319" i="11" s="1"/>
  <c r="I320" i="11" s="1"/>
  <c r="I321" i="11" s="1"/>
  <c r="I322" i="11" s="1"/>
  <c r="I323" i="11" s="1"/>
  <c r="I324" i="11" s="1"/>
  <c r="I325" i="11" s="1"/>
  <c r="I326" i="11" s="1"/>
  <c r="I327" i="11" s="1"/>
  <c r="I328" i="11" s="1"/>
  <c r="I329" i="11" s="1"/>
  <c r="I330" i="11" s="1"/>
  <c r="AW272" i="11"/>
  <c r="AW273" i="11" s="1"/>
  <c r="AW274" i="11" s="1"/>
  <c r="AW275" i="11" s="1"/>
  <c r="AW276" i="11" s="1"/>
  <c r="AW277" i="11" s="1"/>
  <c r="AW278" i="11" s="1"/>
  <c r="AW279" i="11" s="1"/>
  <c r="AW280" i="11" s="1"/>
  <c r="AW281" i="11" s="1"/>
  <c r="AW282" i="11" s="1"/>
  <c r="AW283" i="11" s="1"/>
  <c r="AW284" i="11" s="1"/>
  <c r="AW285" i="11" s="1"/>
  <c r="AW286" i="11" s="1"/>
  <c r="AW287" i="11" s="1"/>
  <c r="AW288" i="11" s="1"/>
  <c r="AW289" i="11" s="1"/>
  <c r="AW290" i="11" s="1"/>
  <c r="AW291" i="11" s="1"/>
  <c r="AW292" i="11" s="1"/>
  <c r="AW293" i="11" s="1"/>
  <c r="AW294" i="11" s="1"/>
  <c r="AW295" i="11" s="1"/>
  <c r="AW296" i="11" s="1"/>
  <c r="AW297" i="11" s="1"/>
  <c r="AW298" i="11" s="1"/>
  <c r="AW299" i="11" s="1"/>
  <c r="AW300" i="11" s="1"/>
  <c r="AW301" i="11" s="1"/>
  <c r="AW302" i="11" s="1"/>
  <c r="AW303" i="11" s="1"/>
  <c r="AW304" i="11" s="1"/>
  <c r="AW305" i="11" s="1"/>
  <c r="AW306" i="11" s="1"/>
  <c r="AW307" i="11" s="1"/>
  <c r="AW308" i="11" s="1"/>
  <c r="AW309" i="11" s="1"/>
  <c r="AW310" i="11" s="1"/>
  <c r="AW311" i="11" s="1"/>
  <c r="AW312" i="11" s="1"/>
  <c r="AW313" i="11" s="1"/>
  <c r="AW314" i="11" s="1"/>
  <c r="AW315" i="11" s="1"/>
  <c r="AW316" i="11" s="1"/>
  <c r="AW317" i="11" s="1"/>
  <c r="AW318" i="11" s="1"/>
  <c r="AW319" i="11" s="1"/>
  <c r="AW320" i="11" s="1"/>
  <c r="AW321" i="11" s="1"/>
  <c r="AW322" i="11" s="1"/>
  <c r="AW323" i="11" s="1"/>
  <c r="AW324" i="11" s="1"/>
  <c r="AW325" i="11" s="1"/>
  <c r="AW326" i="11" s="1"/>
  <c r="AW327" i="11" s="1"/>
  <c r="AW328" i="11" s="1"/>
  <c r="AW329" i="11" s="1"/>
  <c r="AW330" i="11" s="1"/>
  <c r="AQ201" i="11"/>
  <c r="AQ202" i="11" s="1"/>
  <c r="AQ203" i="11" s="1"/>
  <c r="AQ204" i="11" s="1"/>
  <c r="AQ205" i="11" s="1"/>
  <c r="AQ206" i="11" s="1"/>
  <c r="AQ207" i="11" s="1"/>
  <c r="AQ208" i="11" s="1"/>
  <c r="AQ209" i="11" s="1"/>
  <c r="AQ210" i="11" s="1"/>
  <c r="AQ211" i="11" s="1"/>
  <c r="AQ212" i="11" s="1"/>
  <c r="AQ213" i="11" s="1"/>
  <c r="AQ214" i="11" s="1"/>
  <c r="AQ215" i="11" s="1"/>
  <c r="AQ216" i="11" s="1"/>
  <c r="AQ217" i="11" s="1"/>
  <c r="AQ218" i="11" s="1"/>
  <c r="AQ219" i="11" s="1"/>
  <c r="AQ220" i="11" s="1"/>
  <c r="AQ221" i="11" s="1"/>
  <c r="AQ222" i="11" s="1"/>
  <c r="AQ223" i="11" s="1"/>
  <c r="AQ224" i="11" s="1"/>
  <c r="AQ225" i="11" s="1"/>
  <c r="AQ226" i="11" s="1"/>
  <c r="AQ227" i="11" s="1"/>
  <c r="AQ228" i="11" s="1"/>
  <c r="AQ229" i="11" s="1"/>
  <c r="AQ230" i="11" s="1"/>
  <c r="AQ231" i="11" s="1"/>
  <c r="AQ232" i="11" s="1"/>
  <c r="AQ233" i="11" s="1"/>
  <c r="AQ234" i="11" s="1"/>
  <c r="AQ235" i="11" s="1"/>
  <c r="AQ236" i="11" s="1"/>
  <c r="AQ237" i="11" s="1"/>
  <c r="AQ238" i="11" s="1"/>
  <c r="AQ239" i="11" s="1"/>
  <c r="AQ240" i="11" s="1"/>
  <c r="AQ241" i="11" s="1"/>
  <c r="AQ242" i="11" s="1"/>
  <c r="AQ243" i="11" s="1"/>
  <c r="AQ244" i="11" s="1"/>
  <c r="AQ245" i="11" s="1"/>
  <c r="AQ246" i="11" s="1"/>
  <c r="AQ247" i="11" s="1"/>
  <c r="AQ248" i="11" s="1"/>
  <c r="AQ249" i="11" s="1"/>
  <c r="AQ250" i="11" s="1"/>
  <c r="AQ251" i="11" s="1"/>
  <c r="AQ252" i="11" s="1"/>
  <c r="AQ253" i="11" s="1"/>
  <c r="AQ254" i="11" s="1"/>
  <c r="AQ255" i="11" s="1"/>
  <c r="AQ256" i="11" s="1"/>
  <c r="AQ257" i="11" s="1"/>
  <c r="AQ258" i="11" s="1"/>
  <c r="AQ259" i="11" s="1"/>
  <c r="AW130" i="11"/>
  <c r="AW131" i="11" s="1"/>
  <c r="AW132" i="11" s="1"/>
  <c r="AW133" i="11" s="1"/>
  <c r="AW134" i="11" s="1"/>
  <c r="AW135" i="11" s="1"/>
  <c r="AW136" i="11" s="1"/>
  <c r="AW137" i="11" s="1"/>
  <c r="AW138" i="11" s="1"/>
  <c r="AW139" i="11" s="1"/>
  <c r="AW140" i="11" s="1"/>
  <c r="AW141" i="11" s="1"/>
  <c r="AW142" i="11" s="1"/>
  <c r="AW143" i="11" s="1"/>
  <c r="AW144" i="11" s="1"/>
  <c r="AW145" i="11" s="1"/>
  <c r="AW146" i="11" s="1"/>
  <c r="AW147" i="11" s="1"/>
  <c r="AW148" i="11" s="1"/>
  <c r="AW149" i="11" s="1"/>
  <c r="AW150" i="11" s="1"/>
  <c r="AW151" i="11" s="1"/>
  <c r="AW152" i="11" s="1"/>
  <c r="AW153" i="11" s="1"/>
  <c r="AW154" i="11" s="1"/>
  <c r="AW155" i="11" s="1"/>
  <c r="AW156" i="11" s="1"/>
  <c r="AW157" i="11" s="1"/>
  <c r="AW158" i="11" s="1"/>
  <c r="AW159" i="11" s="1"/>
  <c r="AW160" i="11" s="1"/>
  <c r="AW161" i="11" s="1"/>
  <c r="AW162" i="11" s="1"/>
  <c r="AW163" i="11" s="1"/>
  <c r="AW164" i="11" s="1"/>
  <c r="AW165" i="11" s="1"/>
  <c r="AW166" i="11" s="1"/>
  <c r="AW167" i="11" s="1"/>
  <c r="AW168" i="11" s="1"/>
  <c r="AW169" i="11" s="1"/>
  <c r="AW170" i="11" s="1"/>
  <c r="AW171" i="11" s="1"/>
  <c r="AW172" i="11" s="1"/>
  <c r="AW173" i="11" s="1"/>
  <c r="AW174" i="11" s="1"/>
  <c r="AW175" i="11" s="1"/>
  <c r="AW176" i="11" s="1"/>
  <c r="AW177" i="11" s="1"/>
  <c r="AW178" i="11" s="1"/>
  <c r="AW179" i="11" s="1"/>
  <c r="AW180" i="11" s="1"/>
  <c r="AW181" i="11" s="1"/>
  <c r="AW182" i="11" s="1"/>
  <c r="AW183" i="11" s="1"/>
  <c r="AW184" i="11" s="1"/>
  <c r="AW185" i="11" s="1"/>
  <c r="AW186" i="11" s="1"/>
  <c r="AW187" i="11" s="1"/>
  <c r="AW188" i="11" s="1"/>
  <c r="AK130" i="11"/>
  <c r="AK131" i="11" s="1"/>
  <c r="AK132" i="11" s="1"/>
  <c r="AK133" i="11" s="1"/>
  <c r="AK134" i="11" s="1"/>
  <c r="AK135" i="11" s="1"/>
  <c r="AK136" i="11" s="1"/>
  <c r="AK137" i="11" s="1"/>
  <c r="AK138" i="11" s="1"/>
  <c r="AK139" i="11" s="1"/>
  <c r="AK140" i="11" s="1"/>
  <c r="AK141" i="11" s="1"/>
  <c r="AK142" i="11" s="1"/>
  <c r="AK143" i="11" s="1"/>
  <c r="AK144" i="11" s="1"/>
  <c r="AK145" i="11" s="1"/>
  <c r="AK146" i="11" s="1"/>
  <c r="AK147" i="11" s="1"/>
  <c r="AK148" i="11" s="1"/>
  <c r="AK149" i="11" s="1"/>
  <c r="AK150" i="11" s="1"/>
  <c r="AK151" i="11" s="1"/>
  <c r="AK152" i="11" s="1"/>
  <c r="AK153" i="11" s="1"/>
  <c r="AK154" i="11" s="1"/>
  <c r="AK155" i="11" s="1"/>
  <c r="AK156" i="11" s="1"/>
  <c r="AK157" i="11" s="1"/>
  <c r="AK158" i="11" s="1"/>
  <c r="AK159" i="11" s="1"/>
  <c r="AK160" i="11" s="1"/>
  <c r="AK161" i="11" s="1"/>
  <c r="AK162" i="11" s="1"/>
  <c r="AK163" i="11" s="1"/>
  <c r="AK164" i="11" s="1"/>
  <c r="AK165" i="11" s="1"/>
  <c r="AK166" i="11" s="1"/>
  <c r="AK167" i="11" s="1"/>
  <c r="AK168" i="11" s="1"/>
  <c r="AK169" i="11" s="1"/>
  <c r="AK170" i="11" s="1"/>
  <c r="AK171" i="11" s="1"/>
  <c r="AK172" i="11" s="1"/>
  <c r="AK173" i="11" s="1"/>
  <c r="AK174" i="11" s="1"/>
  <c r="AK175" i="11" s="1"/>
  <c r="AK176" i="11" s="1"/>
  <c r="AK177" i="11" s="1"/>
  <c r="AK178" i="11" s="1"/>
  <c r="AK179" i="11" s="1"/>
  <c r="AK180" i="11" s="1"/>
  <c r="AK181" i="11" s="1"/>
  <c r="AK182" i="11" s="1"/>
  <c r="AK183" i="11" s="1"/>
  <c r="AK184" i="11" s="1"/>
  <c r="AK185" i="11" s="1"/>
  <c r="AK186" i="11" s="1"/>
  <c r="AK187" i="11" s="1"/>
  <c r="AK188" i="11" s="1"/>
  <c r="N211" i="11"/>
  <c r="N252" i="11"/>
  <c r="N216" i="11"/>
  <c r="N172" i="11"/>
  <c r="N169" i="11"/>
  <c r="N255" i="11"/>
  <c r="N187" i="11"/>
  <c r="N154" i="11"/>
  <c r="N302" i="11"/>
  <c r="N319" i="11"/>
  <c r="N293" i="11"/>
  <c r="N274" i="11"/>
  <c r="N156" i="11"/>
  <c r="N224" i="11"/>
  <c r="N239" i="11"/>
  <c r="N208" i="11"/>
  <c r="N217" i="11"/>
  <c r="N206" i="11"/>
  <c r="N134" i="11"/>
  <c r="N214" i="11"/>
  <c r="N253" i="11"/>
  <c r="N259" i="11"/>
  <c r="N256" i="11"/>
  <c r="N170" i="11"/>
  <c r="N243" i="11"/>
  <c r="N257" i="11"/>
  <c r="N222" i="11"/>
  <c r="N160" i="11"/>
  <c r="N137" i="11"/>
  <c r="N162" i="11"/>
  <c r="N186" i="11"/>
  <c r="N133" i="11"/>
  <c r="N244" i="11"/>
  <c r="N234" i="11"/>
  <c r="N205" i="11"/>
  <c r="N181" i="11"/>
  <c r="N184" i="11"/>
  <c r="N171" i="11"/>
  <c r="N142" i="11"/>
  <c r="N150" i="11"/>
  <c r="N157" i="11"/>
  <c r="N130" i="11"/>
  <c r="N147" i="11"/>
  <c r="AQ272" i="11"/>
  <c r="AQ273" i="11" s="1"/>
  <c r="AQ274" i="11" s="1"/>
  <c r="AQ275" i="11" s="1"/>
  <c r="AQ276" i="11" s="1"/>
  <c r="AQ277" i="11" s="1"/>
  <c r="AQ278" i="11" s="1"/>
  <c r="AQ279" i="11" s="1"/>
  <c r="AQ280" i="11" s="1"/>
  <c r="AQ281" i="11" s="1"/>
  <c r="AQ282" i="11" s="1"/>
  <c r="AQ283" i="11" s="1"/>
  <c r="AQ284" i="11" s="1"/>
  <c r="AQ285" i="11" s="1"/>
  <c r="AQ286" i="11" s="1"/>
  <c r="AQ287" i="11" s="1"/>
  <c r="AQ288" i="11" s="1"/>
  <c r="AQ289" i="11" s="1"/>
  <c r="AQ290" i="11" s="1"/>
  <c r="AQ291" i="11" s="1"/>
  <c r="AQ292" i="11" s="1"/>
  <c r="AQ293" i="11" s="1"/>
  <c r="AQ294" i="11" s="1"/>
  <c r="AQ295" i="11" s="1"/>
  <c r="AQ296" i="11" s="1"/>
  <c r="AQ297" i="11" s="1"/>
  <c r="AQ298" i="11" s="1"/>
  <c r="AQ299" i="11" s="1"/>
  <c r="AQ300" i="11" s="1"/>
  <c r="AQ301" i="11" s="1"/>
  <c r="AQ302" i="11" s="1"/>
  <c r="AQ303" i="11" s="1"/>
  <c r="AQ304" i="11" s="1"/>
  <c r="AQ305" i="11" s="1"/>
  <c r="AQ306" i="11" s="1"/>
  <c r="AQ307" i="11" s="1"/>
  <c r="AQ308" i="11" s="1"/>
  <c r="AQ309" i="11" s="1"/>
  <c r="AQ310" i="11" s="1"/>
  <c r="AQ311" i="11" s="1"/>
  <c r="AQ312" i="11" s="1"/>
  <c r="AQ313" i="11" s="1"/>
  <c r="AQ314" i="11" s="1"/>
  <c r="AQ315" i="11" s="1"/>
  <c r="AQ316" i="11" s="1"/>
  <c r="AQ317" i="11" s="1"/>
  <c r="AQ318" i="11" s="1"/>
  <c r="AQ319" i="11" s="1"/>
  <c r="AQ320" i="11" s="1"/>
  <c r="AQ321" i="11" s="1"/>
  <c r="AQ322" i="11" s="1"/>
  <c r="AQ323" i="11" s="1"/>
  <c r="AQ324" i="11" s="1"/>
  <c r="AQ325" i="11" s="1"/>
  <c r="AQ326" i="11" s="1"/>
  <c r="AQ327" i="11" s="1"/>
  <c r="AQ328" i="11" s="1"/>
  <c r="AQ329" i="11" s="1"/>
  <c r="AQ330" i="11" s="1"/>
  <c r="N287" i="11"/>
  <c r="N294" i="11"/>
  <c r="N276" i="11"/>
  <c r="N327" i="11"/>
  <c r="N281" i="11"/>
  <c r="N304" i="11"/>
  <c r="N307" i="11"/>
  <c r="N275" i="11"/>
  <c r="N320" i="11"/>
  <c r="N292" i="11"/>
  <c r="N291" i="11"/>
  <c r="AE271" i="11"/>
  <c r="L271" i="11" s="1"/>
  <c r="N271" i="11"/>
  <c r="N310" i="11"/>
  <c r="N300" i="11"/>
  <c r="N315" i="11"/>
  <c r="S272" i="11"/>
  <c r="S273" i="11" s="1"/>
  <c r="S274" i="11" s="1"/>
  <c r="S275" i="11" s="1"/>
  <c r="S276" i="11" s="1"/>
  <c r="S277" i="11" s="1"/>
  <c r="S278" i="11" s="1"/>
  <c r="S279" i="11" s="1"/>
  <c r="S280" i="11" s="1"/>
  <c r="S281" i="11" s="1"/>
  <c r="S282" i="11" s="1"/>
  <c r="S283" i="11" s="1"/>
  <c r="S284" i="11" s="1"/>
  <c r="S285" i="11" s="1"/>
  <c r="S286" i="11" s="1"/>
  <c r="S287" i="11" s="1"/>
  <c r="S288" i="11" s="1"/>
  <c r="S289" i="11" s="1"/>
  <c r="S290" i="11" s="1"/>
  <c r="S291" i="11" s="1"/>
  <c r="S292" i="11" s="1"/>
  <c r="S293" i="11" s="1"/>
  <c r="S294" i="11" s="1"/>
  <c r="S295" i="11" s="1"/>
  <c r="S296" i="11" s="1"/>
  <c r="S297" i="11" s="1"/>
  <c r="S298" i="11" s="1"/>
  <c r="S299" i="11" s="1"/>
  <c r="S300" i="11" s="1"/>
  <c r="S301" i="11" s="1"/>
  <c r="S302" i="11" s="1"/>
  <c r="S303" i="11" s="1"/>
  <c r="S304" i="11" s="1"/>
  <c r="S305" i="11" s="1"/>
  <c r="S306" i="11" s="1"/>
  <c r="S307" i="11" s="1"/>
  <c r="S308" i="11" s="1"/>
  <c r="S309" i="11" s="1"/>
  <c r="S310" i="11" s="1"/>
  <c r="S311" i="11" s="1"/>
  <c r="S312" i="11" s="1"/>
  <c r="S313" i="11" s="1"/>
  <c r="S314" i="11" s="1"/>
  <c r="S315" i="11" s="1"/>
  <c r="S316" i="11" s="1"/>
  <c r="S317" i="11" s="1"/>
  <c r="S318" i="11" s="1"/>
  <c r="S319" i="11" s="1"/>
  <c r="S320" i="11" s="1"/>
  <c r="S321" i="11" s="1"/>
  <c r="S322" i="11" s="1"/>
  <c r="S323" i="11" s="1"/>
  <c r="S324" i="11" s="1"/>
  <c r="S325" i="11" s="1"/>
  <c r="S326" i="11" s="1"/>
  <c r="S327" i="11" s="1"/>
  <c r="S328" i="11" s="1"/>
  <c r="S329" i="11" s="1"/>
  <c r="S330" i="11" s="1"/>
  <c r="G189" i="11"/>
  <c r="N189" i="11" s="1"/>
  <c r="N213" i="11"/>
  <c r="N233" i="11"/>
  <c r="N177" i="11"/>
  <c r="N164" i="11"/>
  <c r="N207" i="11"/>
  <c r="N146" i="11"/>
  <c r="N152" i="11"/>
  <c r="N138" i="11"/>
  <c r="N148" i="11"/>
  <c r="Y130" i="11"/>
  <c r="N298" i="11"/>
  <c r="N316" i="11"/>
  <c r="N295" i="11"/>
  <c r="N330" i="11"/>
  <c r="N317" i="11"/>
  <c r="N143" i="11"/>
  <c r="N248" i="11"/>
  <c r="N212" i="11"/>
  <c r="N258" i="11"/>
  <c r="N221" i="11"/>
  <c r="N173" i="11"/>
  <c r="N250" i="11"/>
  <c r="N149" i="11"/>
  <c r="N158" i="11"/>
  <c r="N135" i="11"/>
  <c r="N159" i="11"/>
  <c r="N163" i="11"/>
  <c r="N180" i="11"/>
  <c r="B165" i="8"/>
  <c r="C558" i="11"/>
  <c r="AK273" i="11"/>
  <c r="AK274" i="11" s="1"/>
  <c r="AK275" i="11" s="1"/>
  <c r="AK276" i="11" s="1"/>
  <c r="AK277" i="11" s="1"/>
  <c r="AK278" i="11" s="1"/>
  <c r="AK279" i="11" s="1"/>
  <c r="AK280" i="11" s="1"/>
  <c r="AK281" i="11" s="1"/>
  <c r="AK282" i="11" s="1"/>
  <c r="AK283" i="11" s="1"/>
  <c r="AK284" i="11" s="1"/>
  <c r="AK285" i="11" s="1"/>
  <c r="AK286" i="11" s="1"/>
  <c r="AK287" i="11" s="1"/>
  <c r="AK288" i="11" s="1"/>
  <c r="AK289" i="11" s="1"/>
  <c r="AK290" i="11" s="1"/>
  <c r="AK291" i="11" s="1"/>
  <c r="AK292" i="11" s="1"/>
  <c r="AK293" i="11" s="1"/>
  <c r="AK294" i="11" s="1"/>
  <c r="AK295" i="11" s="1"/>
  <c r="AK296" i="11" s="1"/>
  <c r="AK297" i="11" s="1"/>
  <c r="AK298" i="11" s="1"/>
  <c r="AK299" i="11" s="1"/>
  <c r="AK300" i="11" s="1"/>
  <c r="AK301" i="11" s="1"/>
  <c r="AK302" i="11" s="1"/>
  <c r="AK303" i="11" s="1"/>
  <c r="AK304" i="11" s="1"/>
  <c r="AK305" i="11" s="1"/>
  <c r="AK306" i="11" s="1"/>
  <c r="AK307" i="11" s="1"/>
  <c r="AK308" i="11" s="1"/>
  <c r="AK309" i="11" s="1"/>
  <c r="AK310" i="11" s="1"/>
  <c r="AK311" i="11" s="1"/>
  <c r="AK312" i="11" s="1"/>
  <c r="AK313" i="11" s="1"/>
  <c r="AK314" i="11" s="1"/>
  <c r="AK315" i="11" s="1"/>
  <c r="AK316" i="11" s="1"/>
  <c r="AK317" i="11" s="1"/>
  <c r="AK318" i="11" s="1"/>
  <c r="AK319" i="11" s="1"/>
  <c r="AK320" i="11" s="1"/>
  <c r="AK321" i="11" s="1"/>
  <c r="AK322" i="11" s="1"/>
  <c r="AK323" i="11" s="1"/>
  <c r="AK324" i="11" s="1"/>
  <c r="AK325" i="11" s="1"/>
  <c r="AK326" i="11" s="1"/>
  <c r="AK327" i="11" s="1"/>
  <c r="AK328" i="11" s="1"/>
  <c r="AK329" i="11" s="1"/>
  <c r="AK330" i="11" s="1"/>
  <c r="N285" i="11"/>
  <c r="N329" i="11"/>
  <c r="N283" i="11"/>
  <c r="N328" i="11"/>
  <c r="N313" i="11"/>
  <c r="N308" i="11"/>
  <c r="N296" i="11"/>
  <c r="N290" i="11"/>
  <c r="N305" i="11"/>
  <c r="N311" i="11"/>
  <c r="N303" i="11"/>
  <c r="N322" i="11"/>
  <c r="N279" i="11"/>
  <c r="N325" i="11"/>
  <c r="G260" i="11"/>
  <c r="N260" i="11" s="1"/>
  <c r="N241" i="11"/>
  <c r="N231" i="11"/>
  <c r="N229" i="11"/>
  <c r="N246" i="11"/>
  <c r="N235" i="11"/>
  <c r="N251" i="11"/>
  <c r="N140" i="11"/>
  <c r="N166" i="11"/>
  <c r="N236" i="11"/>
  <c r="N201" i="11"/>
  <c r="N188" i="11"/>
  <c r="N145" i="11"/>
  <c r="N182" i="11"/>
  <c r="N282" i="11"/>
  <c r="N306" i="11"/>
  <c r="N272" i="11"/>
  <c r="N286" i="11"/>
  <c r="N299" i="11"/>
  <c r="N309" i="11"/>
  <c r="S201" i="11"/>
  <c r="S202" i="11" s="1"/>
  <c r="S203" i="11" s="1"/>
  <c r="S204" i="11" s="1"/>
  <c r="S205" i="11" s="1"/>
  <c r="S206" i="11" s="1"/>
  <c r="S207" i="11" s="1"/>
  <c r="S208" i="11" s="1"/>
  <c r="S209" i="11" s="1"/>
  <c r="S210" i="11" s="1"/>
  <c r="S211" i="11" s="1"/>
  <c r="S212" i="11" s="1"/>
  <c r="S213" i="11" s="1"/>
  <c r="S214" i="11" s="1"/>
  <c r="S215" i="11" s="1"/>
  <c r="S216" i="11" s="1"/>
  <c r="S217" i="11" s="1"/>
  <c r="S218" i="11" s="1"/>
  <c r="S219" i="11" s="1"/>
  <c r="S220" i="11" s="1"/>
  <c r="S221" i="11" s="1"/>
  <c r="S222" i="11" s="1"/>
  <c r="S223" i="11" s="1"/>
  <c r="S224" i="11" s="1"/>
  <c r="S225" i="11" s="1"/>
  <c r="S226" i="11" s="1"/>
  <c r="S227" i="11" s="1"/>
  <c r="S228" i="11" s="1"/>
  <c r="S229" i="11" s="1"/>
  <c r="S230" i="11" s="1"/>
  <c r="S231" i="11" s="1"/>
  <c r="S232" i="11" s="1"/>
  <c r="S233" i="11" s="1"/>
  <c r="S234" i="11" s="1"/>
  <c r="S235" i="11" s="1"/>
  <c r="S236" i="11" s="1"/>
  <c r="S237" i="11" s="1"/>
  <c r="S238" i="11" s="1"/>
  <c r="S239" i="11" s="1"/>
  <c r="S240" i="11" s="1"/>
  <c r="S241" i="11" s="1"/>
  <c r="S242" i="11" s="1"/>
  <c r="S243" i="11" s="1"/>
  <c r="S244" i="11" s="1"/>
  <c r="S245" i="11" s="1"/>
  <c r="S246" i="11" s="1"/>
  <c r="S247" i="11" s="1"/>
  <c r="S248" i="11" s="1"/>
  <c r="S249" i="11" s="1"/>
  <c r="S250" i="11" s="1"/>
  <c r="S251" i="11" s="1"/>
  <c r="S252" i="11" s="1"/>
  <c r="S253" i="11" s="1"/>
  <c r="S254" i="11" s="1"/>
  <c r="S255" i="11" s="1"/>
  <c r="S256" i="11" s="1"/>
  <c r="S257" i="11" s="1"/>
  <c r="S258" i="11" s="1"/>
  <c r="S259" i="11" s="1"/>
  <c r="N219" i="11"/>
  <c r="N155" i="11"/>
  <c r="N247" i="11"/>
  <c r="N202" i="11"/>
  <c r="N153" i="11"/>
  <c r="N204" i="11"/>
  <c r="N139" i="11"/>
  <c r="N220" i="11"/>
  <c r="N245" i="11"/>
  <c r="N144" i="11"/>
  <c r="N141" i="11"/>
  <c r="N168" i="11"/>
  <c r="N223" i="11"/>
  <c r="N238" i="11"/>
  <c r="N254" i="11"/>
  <c r="N151" i="11"/>
  <c r="S130" i="11"/>
  <c r="S131" i="11" s="1"/>
  <c r="S132" i="11" s="1"/>
  <c r="S133" i="11" s="1"/>
  <c r="S134" i="11" s="1"/>
  <c r="S135" i="11" s="1"/>
  <c r="S136" i="11" s="1"/>
  <c r="S137" i="11" s="1"/>
  <c r="S138" i="11" s="1"/>
  <c r="S139" i="11" s="1"/>
  <c r="S140" i="11" s="1"/>
  <c r="S141" i="11" s="1"/>
  <c r="S142" i="11" s="1"/>
  <c r="S143" i="11" s="1"/>
  <c r="S144" i="11" s="1"/>
  <c r="S145" i="11" s="1"/>
  <c r="S146" i="11" s="1"/>
  <c r="S147" i="11" s="1"/>
  <c r="S148" i="11" s="1"/>
  <c r="S149" i="11" s="1"/>
  <c r="S150" i="11" s="1"/>
  <c r="S151" i="11" s="1"/>
  <c r="S152" i="11" s="1"/>
  <c r="S153" i="11" s="1"/>
  <c r="S154" i="11" s="1"/>
  <c r="S155" i="11" s="1"/>
  <c r="S156" i="11" s="1"/>
  <c r="S157" i="11" s="1"/>
  <c r="S158" i="11" s="1"/>
  <c r="S159" i="11" s="1"/>
  <c r="S160" i="11" s="1"/>
  <c r="S161" i="11" s="1"/>
  <c r="S162" i="11" s="1"/>
  <c r="S163" i="11" s="1"/>
  <c r="S164" i="11" s="1"/>
  <c r="S165" i="11" s="1"/>
  <c r="S166" i="11" s="1"/>
  <c r="S167" i="11" s="1"/>
  <c r="S168" i="11" s="1"/>
  <c r="S169" i="11" s="1"/>
  <c r="S170" i="11" s="1"/>
  <c r="S171" i="11" s="1"/>
  <c r="S172" i="11" s="1"/>
  <c r="S173" i="11" s="1"/>
  <c r="S174" i="11" s="1"/>
  <c r="S175" i="11" s="1"/>
  <c r="S176" i="11" s="1"/>
  <c r="S177" i="11" s="1"/>
  <c r="S178" i="11" s="1"/>
  <c r="S179" i="11" s="1"/>
  <c r="S180" i="11" s="1"/>
  <c r="S181" i="11" s="1"/>
  <c r="S182" i="11" s="1"/>
  <c r="S183" i="11" s="1"/>
  <c r="S184" i="11" s="1"/>
  <c r="S185" i="11" s="1"/>
  <c r="S186" i="11" s="1"/>
  <c r="S187" i="11" s="1"/>
  <c r="S188" i="11" s="1"/>
  <c r="G331" i="11"/>
  <c r="N331" i="11" s="1"/>
  <c r="AK201" i="11"/>
  <c r="AK202" i="11" s="1"/>
  <c r="AK203" i="11" s="1"/>
  <c r="AK204" i="11" s="1"/>
  <c r="AK205" i="11" s="1"/>
  <c r="AK206" i="11" s="1"/>
  <c r="AK207" i="11" s="1"/>
  <c r="AK208" i="11" s="1"/>
  <c r="AK209" i="11" s="1"/>
  <c r="AK210" i="11" s="1"/>
  <c r="AK211" i="11" s="1"/>
  <c r="AK212" i="11" s="1"/>
  <c r="AK213" i="11" s="1"/>
  <c r="AK214" i="11" s="1"/>
  <c r="AK215" i="11" s="1"/>
  <c r="AK216" i="11" s="1"/>
  <c r="AK217" i="11" s="1"/>
  <c r="AK218" i="11" s="1"/>
  <c r="AK219" i="11" s="1"/>
  <c r="AK220" i="11" s="1"/>
  <c r="AK221" i="11" s="1"/>
  <c r="AK222" i="11" s="1"/>
  <c r="AK223" i="11" s="1"/>
  <c r="AK224" i="11" s="1"/>
  <c r="AK225" i="11" s="1"/>
  <c r="AK226" i="11" s="1"/>
  <c r="AK227" i="11" s="1"/>
  <c r="AK228" i="11" s="1"/>
  <c r="AK229" i="11" s="1"/>
  <c r="AK230" i="11" s="1"/>
  <c r="AK231" i="11" s="1"/>
  <c r="AK232" i="11" s="1"/>
  <c r="AK233" i="11" s="1"/>
  <c r="AK234" i="11" s="1"/>
  <c r="AK235" i="11" s="1"/>
  <c r="AK236" i="11" s="1"/>
  <c r="AK237" i="11" s="1"/>
  <c r="AK238" i="11" s="1"/>
  <c r="AK239" i="11" s="1"/>
  <c r="AK240" i="11" s="1"/>
  <c r="AK241" i="11" s="1"/>
  <c r="AK242" i="11" s="1"/>
  <c r="AK243" i="11" s="1"/>
  <c r="AK244" i="11" s="1"/>
  <c r="AK245" i="11" s="1"/>
  <c r="AK246" i="11" s="1"/>
  <c r="AK247" i="11" s="1"/>
  <c r="AK248" i="11" s="1"/>
  <c r="AK249" i="11" s="1"/>
  <c r="AK250" i="11" s="1"/>
  <c r="AK251" i="11" s="1"/>
  <c r="AK252" i="11" s="1"/>
  <c r="AK253" i="11" s="1"/>
  <c r="AK254" i="11" s="1"/>
  <c r="AK255" i="11" s="1"/>
  <c r="AK256" i="11" s="1"/>
  <c r="AK257" i="11" s="1"/>
  <c r="AK258" i="11" s="1"/>
  <c r="AK259" i="11" s="1"/>
  <c r="N228" i="11"/>
  <c r="N249" i="11"/>
  <c r="N218" i="11"/>
  <c r="AE129" i="11"/>
  <c r="L129" i="11" s="1"/>
  <c r="N129" i="11"/>
  <c r="N226" i="11"/>
  <c r="N225" i="11"/>
  <c r="N132" i="11"/>
  <c r="N210" i="11"/>
  <c r="N230" i="11"/>
  <c r="N227" i="11"/>
  <c r="N176" i="11"/>
  <c r="N215" i="11"/>
  <c r="N200" i="11"/>
  <c r="AE200" i="11"/>
  <c r="L200" i="11" s="1"/>
  <c r="N242" i="11"/>
  <c r="N232" i="11"/>
  <c r="N183" i="11"/>
  <c r="N178" i="11"/>
  <c r="N185" i="11"/>
  <c r="N175" i="11"/>
  <c r="N209" i="11"/>
  <c r="N240" i="11"/>
  <c r="N203" i="11"/>
  <c r="N237" i="11"/>
  <c r="N136" i="11"/>
  <c r="N131" i="11"/>
  <c r="N174" i="11"/>
  <c r="N167" i="11"/>
  <c r="N165" i="11"/>
  <c r="N161" i="11"/>
  <c r="N179" i="11"/>
  <c r="Y272" i="11"/>
  <c r="AW201" i="11"/>
  <c r="AW202" i="11" s="1"/>
  <c r="AW203" i="11" s="1"/>
  <c r="AW204" i="11" s="1"/>
  <c r="AW205" i="11" s="1"/>
  <c r="AW206" i="11" s="1"/>
  <c r="AW207" i="11" s="1"/>
  <c r="AW208" i="11" s="1"/>
  <c r="AW209" i="11" s="1"/>
  <c r="AW210" i="11" s="1"/>
  <c r="AW211" i="11" s="1"/>
  <c r="AW212" i="11" s="1"/>
  <c r="AW213" i="11" s="1"/>
  <c r="AW214" i="11" s="1"/>
  <c r="AW215" i="11" s="1"/>
  <c r="AW216" i="11" s="1"/>
  <c r="AW217" i="11" s="1"/>
  <c r="AW218" i="11" s="1"/>
  <c r="AW219" i="11" s="1"/>
  <c r="AW220" i="11" s="1"/>
  <c r="AW221" i="11" s="1"/>
  <c r="AW222" i="11" s="1"/>
  <c r="AW223" i="11" s="1"/>
  <c r="AW224" i="11" s="1"/>
  <c r="AW225" i="11" s="1"/>
  <c r="AW226" i="11" s="1"/>
  <c r="AW227" i="11" s="1"/>
  <c r="AW228" i="11" s="1"/>
  <c r="AW229" i="11" s="1"/>
  <c r="AW230" i="11" s="1"/>
  <c r="AW231" i="11" s="1"/>
  <c r="AW232" i="11" s="1"/>
  <c r="AW233" i="11" s="1"/>
  <c r="AW234" i="11" s="1"/>
  <c r="AW235" i="11" s="1"/>
  <c r="AW236" i="11" s="1"/>
  <c r="AW237" i="11" s="1"/>
  <c r="AW238" i="11" s="1"/>
  <c r="AW239" i="11" s="1"/>
  <c r="AW240" i="11" s="1"/>
  <c r="AW241" i="11" s="1"/>
  <c r="AW242" i="11" s="1"/>
  <c r="AW243" i="11" s="1"/>
  <c r="AW244" i="11" s="1"/>
  <c r="AW245" i="11" s="1"/>
  <c r="AW246" i="11" s="1"/>
  <c r="AW247" i="11" s="1"/>
  <c r="AW248" i="11" s="1"/>
  <c r="AW249" i="11" s="1"/>
  <c r="AW250" i="11" s="1"/>
  <c r="AW251" i="11" s="1"/>
  <c r="AW252" i="11" s="1"/>
  <c r="AW253" i="11" s="1"/>
  <c r="AW254" i="11" s="1"/>
  <c r="AW255" i="11" s="1"/>
  <c r="AW256" i="11" s="1"/>
  <c r="AW257" i="11" s="1"/>
  <c r="AW258" i="11" s="1"/>
  <c r="AW259" i="11" s="1"/>
  <c r="Y201" i="11"/>
  <c r="M201" i="11" s="1"/>
  <c r="N277" i="11"/>
  <c r="N312" i="11"/>
  <c r="N324" i="11"/>
  <c r="N284" i="11"/>
  <c r="N326" i="11"/>
  <c r="N289" i="11"/>
  <c r="N273" i="11"/>
  <c r="N321" i="11"/>
  <c r="N314" i="11"/>
  <c r="N297" i="11"/>
  <c r="N288" i="11"/>
  <c r="N278" i="11"/>
  <c r="N280" i="11"/>
  <c r="N323" i="11"/>
  <c r="N318" i="11"/>
  <c r="N301" i="11"/>
  <c r="AQ130" i="11"/>
  <c r="AQ131" i="11" s="1"/>
  <c r="AQ132" i="11" s="1"/>
  <c r="AQ133" i="11" s="1"/>
  <c r="AQ134" i="11" s="1"/>
  <c r="AQ135" i="11" s="1"/>
  <c r="AQ136" i="11" s="1"/>
  <c r="AQ137" i="11" s="1"/>
  <c r="AQ138" i="11" s="1"/>
  <c r="AQ139" i="11" s="1"/>
  <c r="AQ140" i="11" s="1"/>
  <c r="AQ141" i="11" s="1"/>
  <c r="AQ142" i="11" s="1"/>
  <c r="AQ143" i="11" s="1"/>
  <c r="AQ144" i="11" s="1"/>
  <c r="AQ145" i="11" s="1"/>
  <c r="AQ146" i="11" s="1"/>
  <c r="AQ147" i="11" s="1"/>
  <c r="AQ148" i="11" s="1"/>
  <c r="AQ149" i="11" s="1"/>
  <c r="AQ150" i="11" s="1"/>
  <c r="AQ151" i="11" s="1"/>
  <c r="AQ152" i="11" s="1"/>
  <c r="AQ153" i="11" s="1"/>
  <c r="AQ154" i="11" s="1"/>
  <c r="AQ155" i="11" s="1"/>
  <c r="AQ156" i="11" s="1"/>
  <c r="AQ157" i="11" s="1"/>
  <c r="AQ158" i="11" s="1"/>
  <c r="AQ159" i="11" s="1"/>
  <c r="AQ160" i="11" s="1"/>
  <c r="AQ161" i="11" s="1"/>
  <c r="AQ162" i="11" s="1"/>
  <c r="AQ163" i="11" s="1"/>
  <c r="AQ164" i="11" s="1"/>
  <c r="AQ165" i="11" s="1"/>
  <c r="AQ166" i="11" s="1"/>
  <c r="AQ167" i="11" s="1"/>
  <c r="AQ168" i="11" s="1"/>
  <c r="AQ169" i="11" s="1"/>
  <c r="AQ170" i="11" s="1"/>
  <c r="AQ171" i="11" s="1"/>
  <c r="AQ172" i="11" s="1"/>
  <c r="AQ173" i="11" s="1"/>
  <c r="AQ174" i="11" s="1"/>
  <c r="AQ175" i="11" s="1"/>
  <c r="AQ176" i="11" s="1"/>
  <c r="AQ177" i="11" s="1"/>
  <c r="AQ178" i="11" s="1"/>
  <c r="AQ179" i="11" s="1"/>
  <c r="AQ180" i="11" s="1"/>
  <c r="AQ181" i="11" s="1"/>
  <c r="AQ182" i="11" s="1"/>
  <c r="AQ183" i="11" s="1"/>
  <c r="AQ184" i="11" s="1"/>
  <c r="AQ185" i="11" s="1"/>
  <c r="AQ186" i="11" s="1"/>
  <c r="AQ187" i="11" s="1"/>
  <c r="AQ188" i="11" s="1"/>
  <c r="M59" i="12" l="1"/>
  <c r="N59" i="12" s="1"/>
  <c r="F60" i="12"/>
  <c r="D60" i="12"/>
  <c r="G60" i="12" s="1"/>
  <c r="H60" i="12" s="1"/>
  <c r="B68" i="17"/>
  <c r="E60" i="12"/>
  <c r="B61" i="12"/>
  <c r="Y158" i="17"/>
  <c r="B159" i="17"/>
  <c r="H158" i="17"/>
  <c r="Y67" i="17"/>
  <c r="H67" i="17"/>
  <c r="AF65" i="11"/>
  <c r="AX65" i="11"/>
  <c r="K65" i="11"/>
  <c r="T27" i="12" s="1"/>
  <c r="AR65" i="11"/>
  <c r="J66" i="11"/>
  <c r="Z65" i="11"/>
  <c r="T65" i="11"/>
  <c r="AL65" i="11"/>
  <c r="S27" i="12"/>
  <c r="O19" i="12"/>
  <c r="M272" i="11"/>
  <c r="M130" i="11"/>
  <c r="Y131" i="11"/>
  <c r="M131" i="11" s="1"/>
  <c r="AE272" i="11"/>
  <c r="AE201" i="11"/>
  <c r="Y273" i="11"/>
  <c r="C559" i="11"/>
  <c r="B166" i="8"/>
  <c r="Y202" i="11"/>
  <c r="AE130" i="11"/>
  <c r="J67" i="11" l="1"/>
  <c r="T67" i="11" s="1"/>
  <c r="M60" i="12"/>
  <c r="N60" i="12" s="1"/>
  <c r="B160" i="17"/>
  <c r="H159" i="17"/>
  <c r="Y159" i="17"/>
  <c r="H68" i="17"/>
  <c r="Y68" i="17"/>
  <c r="B69" i="17"/>
  <c r="E61" i="12"/>
  <c r="F61" i="12"/>
  <c r="B62" i="12"/>
  <c r="D61" i="12"/>
  <c r="G61" i="12" s="1"/>
  <c r="H61" i="12" s="1"/>
  <c r="J69" i="11"/>
  <c r="AF66" i="11"/>
  <c r="S28" i="12"/>
  <c r="K66" i="11"/>
  <c r="AR66" i="11"/>
  <c r="Z66" i="11"/>
  <c r="AX66" i="11"/>
  <c r="T66" i="11"/>
  <c r="AL66" i="11"/>
  <c r="R19" i="12"/>
  <c r="Y132" i="11"/>
  <c r="M132" i="11" s="1"/>
  <c r="L272" i="11"/>
  <c r="AE273" i="11"/>
  <c r="C560" i="11"/>
  <c r="B167" i="8"/>
  <c r="M273" i="11"/>
  <c r="Y274" i="11"/>
  <c r="M202" i="11"/>
  <c r="Y203" i="11"/>
  <c r="L130" i="11"/>
  <c r="AE131" i="11"/>
  <c r="L201" i="11"/>
  <c r="AE202" i="11"/>
  <c r="K67" i="11" l="1"/>
  <c r="T29" i="12" s="1"/>
  <c r="AR67" i="11"/>
  <c r="Z67" i="11"/>
  <c r="S29" i="12"/>
  <c r="AX67" i="11"/>
  <c r="AL67" i="11"/>
  <c r="AF67" i="11"/>
  <c r="J68" i="11"/>
  <c r="M61" i="12"/>
  <c r="N61" i="12" s="1"/>
  <c r="H69" i="17"/>
  <c r="Y69" i="17"/>
  <c r="F62" i="12"/>
  <c r="E62" i="12"/>
  <c r="B63" i="12"/>
  <c r="B70" i="17"/>
  <c r="D62" i="12"/>
  <c r="G62" i="12" s="1"/>
  <c r="H62" i="12" s="1"/>
  <c r="Y160" i="17"/>
  <c r="H160" i="17"/>
  <c r="B161" i="17"/>
  <c r="J70" i="11"/>
  <c r="AR69" i="11"/>
  <c r="AL69" i="11"/>
  <c r="T69" i="11"/>
  <c r="AF69" i="11"/>
  <c r="Z69" i="11"/>
  <c r="K69" i="11"/>
  <c r="T31" i="12" s="1"/>
  <c r="AX69" i="11"/>
  <c r="S31" i="12"/>
  <c r="T28" i="12"/>
  <c r="Y133" i="11"/>
  <c r="Y134" i="11" s="1"/>
  <c r="M203" i="11"/>
  <c r="Y204" i="11"/>
  <c r="L202" i="11"/>
  <c r="AE203" i="11"/>
  <c r="L131" i="11"/>
  <c r="AE132" i="11"/>
  <c r="M274" i="11"/>
  <c r="Y275" i="11"/>
  <c r="C561" i="11"/>
  <c r="B168" i="8"/>
  <c r="L273" i="11"/>
  <c r="AE274" i="11"/>
  <c r="AL68" i="11" l="1"/>
  <c r="Z68" i="11"/>
  <c r="S30" i="12"/>
  <c r="T68" i="11"/>
  <c r="AR68" i="11"/>
  <c r="AF68" i="11"/>
  <c r="AX68" i="11"/>
  <c r="K68" i="11"/>
  <c r="T30" i="12" s="1"/>
  <c r="M62" i="12"/>
  <c r="N62" i="12" s="1"/>
  <c r="F63" i="12"/>
  <c r="E63" i="12"/>
  <c r="B64" i="12"/>
  <c r="D63" i="12"/>
  <c r="G63" i="12" s="1"/>
  <c r="H63" i="12" s="1"/>
  <c r="B71" i="17"/>
  <c r="B162" i="17"/>
  <c r="H161" i="17"/>
  <c r="Y161" i="17"/>
  <c r="H70" i="17"/>
  <c r="Y70" i="17"/>
  <c r="K70" i="11"/>
  <c r="T32" i="12" s="1"/>
  <c r="S32" i="12"/>
  <c r="T70" i="11"/>
  <c r="J71" i="11"/>
  <c r="AF70" i="11"/>
  <c r="AL70" i="11"/>
  <c r="AR70" i="11"/>
  <c r="Z70" i="11"/>
  <c r="AX70" i="11"/>
  <c r="M133" i="11"/>
  <c r="M204" i="11"/>
  <c r="Y205" i="11"/>
  <c r="C562" i="11"/>
  <c r="B169" i="8"/>
  <c r="M134" i="11"/>
  <c r="Y135" i="11"/>
  <c r="L274" i="11"/>
  <c r="AE275" i="11"/>
  <c r="L203" i="11"/>
  <c r="AE204" i="11"/>
  <c r="M275" i="11"/>
  <c r="Y276" i="11"/>
  <c r="L132" i="11"/>
  <c r="AE133" i="11"/>
  <c r="M63" i="12" l="1"/>
  <c r="N63" i="12" s="1"/>
  <c r="H162" i="17"/>
  <c r="B163" i="17"/>
  <c r="Y162" i="17"/>
  <c r="B72" i="17"/>
  <c r="B65" i="12"/>
  <c r="F64" i="12"/>
  <c r="D64" i="12"/>
  <c r="G64" i="12" s="1"/>
  <c r="H64" i="12" s="1"/>
  <c r="E64" i="12"/>
  <c r="H71" i="17"/>
  <c r="Y71" i="17"/>
  <c r="S33" i="12"/>
  <c r="AR71" i="11"/>
  <c r="J72" i="11"/>
  <c r="AF71" i="11"/>
  <c r="AL71" i="11"/>
  <c r="K71" i="11"/>
  <c r="T33" i="12" s="1"/>
  <c r="Z71" i="11"/>
  <c r="T71" i="11"/>
  <c r="AX71" i="11"/>
  <c r="M276" i="11"/>
  <c r="Y277" i="11"/>
  <c r="L275" i="11"/>
  <c r="AE276" i="11"/>
  <c r="C563" i="11"/>
  <c r="B170" i="8"/>
  <c r="M135" i="11"/>
  <c r="Y136" i="11"/>
  <c r="L133" i="11"/>
  <c r="AE134" i="11"/>
  <c r="L204" i="11"/>
  <c r="AE205" i="11"/>
  <c r="M205" i="11"/>
  <c r="Y206" i="11"/>
  <c r="M64" i="12" l="1"/>
  <c r="N64" i="12" s="1"/>
  <c r="Y163" i="17"/>
  <c r="H163" i="17"/>
  <c r="B164" i="17"/>
  <c r="Y72" i="17"/>
  <c r="H72" i="17"/>
  <c r="F65" i="12"/>
  <c r="E65" i="12"/>
  <c r="B73" i="17"/>
  <c r="D65" i="12"/>
  <c r="G65" i="12" s="1"/>
  <c r="H65" i="12" s="1"/>
  <c r="B66" i="12"/>
  <c r="AR72" i="11"/>
  <c r="AL72" i="11"/>
  <c r="AX72" i="11"/>
  <c r="T72" i="11"/>
  <c r="AF72" i="11"/>
  <c r="K72" i="11"/>
  <c r="T34" i="12" s="1"/>
  <c r="J73" i="11"/>
  <c r="Z72" i="11"/>
  <c r="S34" i="12"/>
  <c r="L134" i="11"/>
  <c r="AE135" i="11"/>
  <c r="L205" i="11"/>
  <c r="AE206" i="11"/>
  <c r="M206" i="11"/>
  <c r="Y207" i="11"/>
  <c r="M136" i="11"/>
  <c r="Y137" i="11"/>
  <c r="C564" i="11"/>
  <c r="B171" i="8"/>
  <c r="L276" i="11"/>
  <c r="AE277" i="11"/>
  <c r="M277" i="11"/>
  <c r="Y278" i="11"/>
  <c r="M65" i="12" l="1"/>
  <c r="N65" i="12" s="1"/>
  <c r="Y73" i="17"/>
  <c r="H73" i="17"/>
  <c r="H164" i="17"/>
  <c r="B165" i="17"/>
  <c r="Y164" i="17"/>
  <c r="B74" i="17"/>
  <c r="D66" i="12"/>
  <c r="G66" i="12" s="1"/>
  <c r="H66" i="12" s="1"/>
  <c r="E66" i="12"/>
  <c r="F66" i="12"/>
  <c r="B67" i="12"/>
  <c r="J74" i="11"/>
  <c r="AL73" i="11"/>
  <c r="AR73" i="11"/>
  <c r="K73" i="11"/>
  <c r="T35" i="12" s="1"/>
  <c r="AF73" i="11"/>
  <c r="S35" i="12"/>
  <c r="T73" i="11"/>
  <c r="Z73" i="11"/>
  <c r="AX73" i="11"/>
  <c r="C565" i="11"/>
  <c r="B172" i="8"/>
  <c r="M137" i="11"/>
  <c r="Y138" i="11"/>
  <c r="M207" i="11"/>
  <c r="Y208" i="11"/>
  <c r="L277" i="11"/>
  <c r="AE278" i="11"/>
  <c r="L135" i="11"/>
  <c r="AE136" i="11"/>
  <c r="M278" i="11"/>
  <c r="Y279" i="11"/>
  <c r="L206" i="11"/>
  <c r="AE207" i="11"/>
  <c r="M66" i="12" l="1"/>
  <c r="N66" i="12" s="1"/>
  <c r="B68" i="12"/>
  <c r="D67" i="12"/>
  <c r="G67" i="12" s="1"/>
  <c r="H67" i="12" s="1"/>
  <c r="E67" i="12"/>
  <c r="B75" i="17"/>
  <c r="F67" i="12"/>
  <c r="H74" i="17"/>
  <c r="Y74" i="17"/>
  <c r="Y165" i="17"/>
  <c r="H165" i="17"/>
  <c r="B166" i="17"/>
  <c r="J75" i="11"/>
  <c r="AL74" i="11"/>
  <c r="S36" i="12"/>
  <c r="Z74" i="11"/>
  <c r="AX74" i="11"/>
  <c r="K74" i="11"/>
  <c r="T36" i="12" s="1"/>
  <c r="AF74" i="11"/>
  <c r="T74" i="11"/>
  <c r="AR74" i="11"/>
  <c r="M208" i="11"/>
  <c r="Y209" i="11"/>
  <c r="L207" i="11"/>
  <c r="AE208" i="11"/>
  <c r="M279" i="11"/>
  <c r="Y280" i="11"/>
  <c r="B173" i="8"/>
  <c r="C566" i="11"/>
  <c r="M138" i="11"/>
  <c r="Y139" i="11"/>
  <c r="L136" i="11"/>
  <c r="AE137" i="11"/>
  <c r="L278" i="11"/>
  <c r="AE279" i="11"/>
  <c r="M67" i="12" l="1"/>
  <c r="N67" i="12" s="1"/>
  <c r="Y166" i="17"/>
  <c r="B167" i="17"/>
  <c r="H166" i="17"/>
  <c r="Y75" i="17"/>
  <c r="H75" i="17"/>
  <c r="B76" i="17"/>
  <c r="F68" i="12"/>
  <c r="D68" i="12"/>
  <c r="G68" i="12" s="1"/>
  <c r="H68" i="12" s="1"/>
  <c r="E68" i="12"/>
  <c r="B69" i="12"/>
  <c r="AL75" i="11"/>
  <c r="J76" i="11"/>
  <c r="Z75" i="11"/>
  <c r="AX75" i="11"/>
  <c r="AR75" i="11"/>
  <c r="K75" i="11"/>
  <c r="T37" i="12" s="1"/>
  <c r="S37" i="12"/>
  <c r="T75" i="11"/>
  <c r="AF75" i="11"/>
  <c r="M139" i="11"/>
  <c r="Y140" i="11"/>
  <c r="L208" i="11"/>
  <c r="AE209" i="11"/>
  <c r="M280" i="11"/>
  <c r="Y281" i="11"/>
  <c r="M209" i="11"/>
  <c r="Y210" i="11"/>
  <c r="L279" i="11"/>
  <c r="AE280" i="11"/>
  <c r="L137" i="11"/>
  <c r="AE138" i="11"/>
  <c r="C567" i="11"/>
  <c r="B174" i="8"/>
  <c r="M68" i="12" l="1"/>
  <c r="N68" i="12" s="1"/>
  <c r="B77" i="17"/>
  <c r="E69" i="12"/>
  <c r="D69" i="12"/>
  <c r="G69" i="12" s="1"/>
  <c r="H69" i="12" s="1"/>
  <c r="B70" i="12"/>
  <c r="F69" i="12"/>
  <c r="Y76" i="17"/>
  <c r="H76" i="17"/>
  <c r="B168" i="17"/>
  <c r="Y167" i="17"/>
  <c r="H167" i="17"/>
  <c r="S38" i="12"/>
  <c r="J77" i="11"/>
  <c r="AX76" i="11"/>
  <c r="AR76" i="11"/>
  <c r="T76" i="11"/>
  <c r="AL76" i="11"/>
  <c r="AF76" i="11"/>
  <c r="K76" i="11"/>
  <c r="T38" i="12" s="1"/>
  <c r="Z76" i="11"/>
  <c r="L138" i="11"/>
  <c r="AE139" i="11"/>
  <c r="M140" i="11"/>
  <c r="Y141" i="11"/>
  <c r="M210" i="11"/>
  <c r="Y211" i="11"/>
  <c r="M281" i="11"/>
  <c r="Y282" i="11"/>
  <c r="L209" i="11"/>
  <c r="AE210" i="11"/>
  <c r="C568" i="11"/>
  <c r="B175" i="8"/>
  <c r="L280" i="11"/>
  <c r="AE281" i="11"/>
  <c r="M69" i="12" l="1"/>
  <c r="N69" i="12" s="1"/>
  <c r="Y168" i="17"/>
  <c r="H168" i="17"/>
  <c r="B169" i="17"/>
  <c r="B78" i="17"/>
  <c r="E70" i="12"/>
  <c r="D70" i="12"/>
  <c r="G70" i="12" s="1"/>
  <c r="H70" i="12" s="1"/>
  <c r="B71" i="12"/>
  <c r="F70" i="12"/>
  <c r="H77" i="17"/>
  <c r="Y77" i="17"/>
  <c r="AF77" i="11"/>
  <c r="J78" i="11"/>
  <c r="AL77" i="11"/>
  <c r="T77" i="11"/>
  <c r="S39" i="12"/>
  <c r="AX77" i="11"/>
  <c r="K77" i="11"/>
  <c r="T39" i="12" s="1"/>
  <c r="AR77" i="11"/>
  <c r="Z77" i="11"/>
  <c r="M141" i="11"/>
  <c r="Y142" i="11"/>
  <c r="M211" i="11"/>
  <c r="Y212" i="11"/>
  <c r="L210" i="11"/>
  <c r="AE211" i="11"/>
  <c r="M282" i="11"/>
  <c r="Y283" i="11"/>
  <c r="L139" i="11"/>
  <c r="AE140" i="11"/>
  <c r="L281" i="11"/>
  <c r="AE282" i="11"/>
  <c r="C569" i="11"/>
  <c r="B176" i="8"/>
  <c r="M70" i="12" l="1"/>
  <c r="N70" i="12" s="1"/>
  <c r="F71" i="12"/>
  <c r="B72" i="12"/>
  <c r="E71" i="12"/>
  <c r="D71" i="12"/>
  <c r="G71" i="12" s="1"/>
  <c r="H71" i="12" s="1"/>
  <c r="B79" i="17"/>
  <c r="B170" i="17"/>
  <c r="H169" i="17"/>
  <c r="Y169" i="17"/>
  <c r="H78" i="17"/>
  <c r="Y78" i="17"/>
  <c r="AF78" i="11"/>
  <c r="J79" i="11"/>
  <c r="S40" i="12"/>
  <c r="T78" i="11"/>
  <c r="AL78" i="11"/>
  <c r="AR78" i="11"/>
  <c r="Z78" i="11"/>
  <c r="K78" i="11"/>
  <c r="T40" i="12" s="1"/>
  <c r="AX78" i="11"/>
  <c r="L211" i="11"/>
  <c r="AE212" i="11"/>
  <c r="M212" i="11"/>
  <c r="Y213" i="11"/>
  <c r="L140" i="11"/>
  <c r="AE141" i="11"/>
  <c r="C570" i="11"/>
  <c r="B177" i="8"/>
  <c r="M283" i="11"/>
  <c r="Y284" i="11"/>
  <c r="M142" i="11"/>
  <c r="Y143" i="11"/>
  <c r="L282" i="11"/>
  <c r="AE283" i="11"/>
  <c r="M71" i="12" l="1"/>
  <c r="N71" i="12" s="1"/>
  <c r="H170" i="17"/>
  <c r="B171" i="17"/>
  <c r="Y170" i="17"/>
  <c r="Y79" i="17"/>
  <c r="H79" i="17"/>
  <c r="B73" i="12"/>
  <c r="D72" i="12"/>
  <c r="G72" i="12" s="1"/>
  <c r="H72" i="12" s="1"/>
  <c r="F72" i="12"/>
  <c r="B80" i="17"/>
  <c r="E72" i="12"/>
  <c r="AF79" i="11"/>
  <c r="T79" i="11"/>
  <c r="S41" i="12"/>
  <c r="Z79" i="11"/>
  <c r="AX79" i="11"/>
  <c r="AR79" i="11"/>
  <c r="J80" i="11"/>
  <c r="K79" i="11"/>
  <c r="T41" i="12" s="1"/>
  <c r="AL79" i="11"/>
  <c r="L283" i="11"/>
  <c r="AE284" i="11"/>
  <c r="M213" i="11"/>
  <c r="Y214" i="11"/>
  <c r="C571" i="11"/>
  <c r="B178" i="8"/>
  <c r="M143" i="11"/>
  <c r="Y144" i="11"/>
  <c r="M284" i="11"/>
  <c r="Y285" i="11"/>
  <c r="L141" i="11"/>
  <c r="AE142" i="11"/>
  <c r="L212" i="11"/>
  <c r="AE213" i="11"/>
  <c r="M72" i="12" l="1"/>
  <c r="N72" i="12" s="1"/>
  <c r="B81" i="17"/>
  <c r="B74" i="12"/>
  <c r="E73" i="12"/>
  <c r="D73" i="12"/>
  <c r="G73" i="12" s="1"/>
  <c r="H73" i="12" s="1"/>
  <c r="F73" i="12"/>
  <c r="H171" i="17"/>
  <c r="B172" i="17"/>
  <c r="Y171" i="17"/>
  <c r="Y80" i="17"/>
  <c r="H80" i="17"/>
  <c r="T80" i="11"/>
  <c r="J81" i="11"/>
  <c r="AL80" i="11"/>
  <c r="S42" i="12"/>
  <c r="AR80" i="11"/>
  <c r="Z80" i="11"/>
  <c r="AX80" i="11"/>
  <c r="AF80" i="11"/>
  <c r="K80" i="11"/>
  <c r="T42" i="12" s="1"/>
  <c r="L284" i="11"/>
  <c r="AE285" i="11"/>
  <c r="M285" i="11"/>
  <c r="Y286" i="11"/>
  <c r="L142" i="11"/>
  <c r="AE143" i="11"/>
  <c r="L213" i="11"/>
  <c r="AE214" i="11"/>
  <c r="M144" i="11"/>
  <c r="Y145" i="11"/>
  <c r="C572" i="11"/>
  <c r="B179" i="8"/>
  <c r="M214" i="11"/>
  <c r="Y215" i="11"/>
  <c r="M73" i="12" l="1"/>
  <c r="N73" i="12" s="1"/>
  <c r="B82" i="17"/>
  <c r="F74" i="12"/>
  <c r="B75" i="12"/>
  <c r="D74" i="12"/>
  <c r="G74" i="12" s="1"/>
  <c r="H74" i="12" s="1"/>
  <c r="E74" i="12"/>
  <c r="H172" i="17"/>
  <c r="B173" i="17"/>
  <c r="Y172" i="17"/>
  <c r="H81" i="17"/>
  <c r="Y81" i="17"/>
  <c r="AF81" i="11"/>
  <c r="J82" i="11"/>
  <c r="AL81" i="11"/>
  <c r="AX81" i="11"/>
  <c r="T81" i="11"/>
  <c r="K81" i="11"/>
  <c r="T43" i="12" s="1"/>
  <c r="S43" i="12"/>
  <c r="Z81" i="11"/>
  <c r="AR81" i="11"/>
  <c r="L285" i="11"/>
  <c r="AE286" i="11"/>
  <c r="M145" i="11"/>
  <c r="Y146" i="11"/>
  <c r="M215" i="11"/>
  <c r="Y216" i="11"/>
  <c r="L214" i="11"/>
  <c r="AE215" i="11"/>
  <c r="L143" i="11"/>
  <c r="AE144" i="11"/>
  <c r="C573" i="11"/>
  <c r="B180" i="8"/>
  <c r="M286" i="11"/>
  <c r="Y287" i="11"/>
  <c r="M74" i="12" l="1"/>
  <c r="N74" i="12" s="1"/>
  <c r="B83" i="17"/>
  <c r="F75" i="12"/>
  <c r="B76" i="12"/>
  <c r="D75" i="12"/>
  <c r="G75" i="12" s="1"/>
  <c r="H75" i="12" s="1"/>
  <c r="E75" i="12"/>
  <c r="Y173" i="17"/>
  <c r="B174" i="17"/>
  <c r="H173" i="17"/>
  <c r="Y82" i="17"/>
  <c r="H82" i="17"/>
  <c r="AF82" i="11"/>
  <c r="J83" i="11"/>
  <c r="T82" i="11"/>
  <c r="S44" i="12"/>
  <c r="Z82" i="11"/>
  <c r="AR82" i="11"/>
  <c r="K82" i="11"/>
  <c r="T44" i="12" s="1"/>
  <c r="AL82" i="11"/>
  <c r="AX82" i="11"/>
  <c r="M146" i="11"/>
  <c r="Y147" i="11"/>
  <c r="L286" i="11"/>
  <c r="AE287" i="11"/>
  <c r="L215" i="11"/>
  <c r="AE216" i="11"/>
  <c r="M287" i="11"/>
  <c r="Y288" i="11"/>
  <c r="B181" i="8"/>
  <c r="C574" i="11"/>
  <c r="L144" i="11"/>
  <c r="AE145" i="11"/>
  <c r="M216" i="11"/>
  <c r="Y217" i="11"/>
  <c r="M75" i="12" l="1"/>
  <c r="N75" i="12" s="1"/>
  <c r="D76" i="12"/>
  <c r="G76" i="12" s="1"/>
  <c r="H76" i="12" s="1"/>
  <c r="F76" i="12"/>
  <c r="B77" i="12"/>
  <c r="B84" i="17"/>
  <c r="E76" i="12"/>
  <c r="Y83" i="17"/>
  <c r="H83" i="17"/>
  <c r="B175" i="17"/>
  <c r="Y174" i="17"/>
  <c r="H174" i="17"/>
  <c r="AF83" i="11"/>
  <c r="S45" i="12"/>
  <c r="AR83" i="11"/>
  <c r="AX83" i="11"/>
  <c r="J84" i="11"/>
  <c r="T83" i="11"/>
  <c r="K83" i="11"/>
  <c r="T45" i="12" s="1"/>
  <c r="AL83" i="11"/>
  <c r="Z83" i="11"/>
  <c r="L216" i="11"/>
  <c r="AE217" i="11"/>
  <c r="L287" i="11"/>
  <c r="AE288" i="11"/>
  <c r="L145" i="11"/>
  <c r="AE146" i="11"/>
  <c r="C575" i="11"/>
  <c r="B182" i="8"/>
  <c r="M217" i="11"/>
  <c r="Y218" i="11"/>
  <c r="M288" i="11"/>
  <c r="Y289" i="11"/>
  <c r="M147" i="11"/>
  <c r="Y148" i="11"/>
  <c r="M76" i="12" l="1"/>
  <c r="N76" i="12" s="1"/>
  <c r="F77" i="12"/>
  <c r="B78" i="12"/>
  <c r="E77" i="12"/>
  <c r="D77" i="12"/>
  <c r="G77" i="12" s="1"/>
  <c r="H77" i="12" s="1"/>
  <c r="B85" i="17"/>
  <c r="H84" i="17"/>
  <c r="Y84" i="17"/>
  <c r="Y175" i="17"/>
  <c r="H175" i="17"/>
  <c r="B176" i="17"/>
  <c r="AF84" i="11"/>
  <c r="K84" i="11"/>
  <c r="T46" i="12" s="1"/>
  <c r="AX84" i="11"/>
  <c r="AL84" i="11"/>
  <c r="AR84" i="11"/>
  <c r="J85" i="11"/>
  <c r="T84" i="11"/>
  <c r="S46" i="12"/>
  <c r="Z84" i="11"/>
  <c r="L146" i="11"/>
  <c r="AE147" i="11"/>
  <c r="L288" i="11"/>
  <c r="AE289" i="11"/>
  <c r="L217" i="11"/>
  <c r="AE218" i="11"/>
  <c r="M218" i="11"/>
  <c r="Y219" i="11"/>
  <c r="M148" i="11"/>
  <c r="Y149" i="11"/>
  <c r="M289" i="11"/>
  <c r="Y290" i="11"/>
  <c r="B183" i="8"/>
  <c r="C576" i="11"/>
  <c r="J86" i="11" l="1"/>
  <c r="AL86" i="11" s="1"/>
  <c r="M77" i="12"/>
  <c r="N77" i="12" s="1"/>
  <c r="H176" i="17"/>
  <c r="Y176" i="17"/>
  <c r="B177" i="17"/>
  <c r="E78" i="12"/>
  <c r="B86" i="17"/>
  <c r="F78" i="12"/>
  <c r="H11" i="12"/>
  <c r="L21" i="12" s="1"/>
  <c r="D78" i="12"/>
  <c r="G78" i="12" s="1"/>
  <c r="H78" i="12" s="1"/>
  <c r="J87" i="11"/>
  <c r="H85" i="17"/>
  <c r="Y85" i="17"/>
  <c r="AF85" i="11"/>
  <c r="T85" i="11"/>
  <c r="AR85" i="11"/>
  <c r="AL85" i="11"/>
  <c r="Z85" i="11"/>
  <c r="K85" i="11"/>
  <c r="T47" i="12" s="1"/>
  <c r="AX85" i="11"/>
  <c r="S47" i="12"/>
  <c r="C577" i="11"/>
  <c r="B184" i="8"/>
  <c r="M290" i="11"/>
  <c r="Y291" i="11"/>
  <c r="M149" i="11"/>
  <c r="Y150" i="11"/>
  <c r="M219" i="11"/>
  <c r="Y220" i="11"/>
  <c r="L147" i="11"/>
  <c r="AE148" i="11"/>
  <c r="L218" i="11"/>
  <c r="AE219" i="11"/>
  <c r="L289" i="11"/>
  <c r="AE290" i="11"/>
  <c r="AX86" i="11" l="1"/>
  <c r="K86" i="11"/>
  <c r="T48" i="12" s="1"/>
  <c r="AF86" i="11"/>
  <c r="T86" i="11"/>
  <c r="S48" i="12"/>
  <c r="Z86" i="11"/>
  <c r="AR86" i="11"/>
  <c r="M78" i="12"/>
  <c r="N78" i="12" s="1"/>
  <c r="N80" i="12" s="1"/>
  <c r="H10" i="12" s="1"/>
  <c r="O6" i="18" s="1"/>
  <c r="B178" i="17"/>
  <c r="Y177" i="17"/>
  <c r="H177" i="17"/>
  <c r="B87" i="17"/>
  <c r="Y86" i="17"/>
  <c r="H86" i="17"/>
  <c r="L20" i="12"/>
  <c r="L63" i="12"/>
  <c r="L52" i="12"/>
  <c r="L33" i="12"/>
  <c r="L57" i="12"/>
  <c r="L60" i="12"/>
  <c r="L55" i="12"/>
  <c r="L66" i="12"/>
  <c r="L59" i="12"/>
  <c r="L26" i="12"/>
  <c r="L62" i="12"/>
  <c r="L31" i="12"/>
  <c r="L29" i="12"/>
  <c r="L38" i="12"/>
  <c r="L36" i="12"/>
  <c r="L50" i="12"/>
  <c r="L45" i="12"/>
  <c r="L47" i="12"/>
  <c r="L51" i="12"/>
  <c r="L53" i="12"/>
  <c r="L43" i="12"/>
  <c r="L58" i="12"/>
  <c r="L61" i="12"/>
  <c r="L67" i="12"/>
  <c r="L46" i="12"/>
  <c r="L64" i="12"/>
  <c r="L32" i="12"/>
  <c r="L23" i="12"/>
  <c r="L48" i="12"/>
  <c r="L35" i="12"/>
  <c r="L27" i="12"/>
  <c r="L65" i="12"/>
  <c r="L28" i="12"/>
  <c r="L24" i="12"/>
  <c r="L25" i="12"/>
  <c r="L37" i="12"/>
  <c r="L54" i="12"/>
  <c r="L40" i="12"/>
  <c r="L39" i="12"/>
  <c r="L22" i="12"/>
  <c r="L56" i="12"/>
  <c r="L42" i="12"/>
  <c r="L49" i="12"/>
  <c r="L30" i="12"/>
  <c r="L41" i="12"/>
  <c r="L44" i="12"/>
  <c r="L34" i="12"/>
  <c r="L68" i="12"/>
  <c r="L69" i="12"/>
  <c r="L70" i="12"/>
  <c r="L71" i="12"/>
  <c r="L72" i="12"/>
  <c r="L73" i="12"/>
  <c r="L74" i="12"/>
  <c r="L75" i="12"/>
  <c r="L76" i="12"/>
  <c r="AF87" i="11"/>
  <c r="J88" i="11"/>
  <c r="Z87" i="11"/>
  <c r="AL87" i="11"/>
  <c r="T87" i="11"/>
  <c r="S49" i="12"/>
  <c r="K87" i="11"/>
  <c r="T49" i="12" s="1"/>
  <c r="AR87" i="11"/>
  <c r="AX87" i="11"/>
  <c r="L78" i="12"/>
  <c r="L77" i="12"/>
  <c r="M150" i="11"/>
  <c r="Y151" i="11"/>
  <c r="L219" i="11"/>
  <c r="AE220" i="11"/>
  <c r="M291" i="11"/>
  <c r="Y292" i="11"/>
  <c r="L148" i="11"/>
  <c r="AE149" i="11"/>
  <c r="M220" i="11"/>
  <c r="Y221" i="11"/>
  <c r="L290" i="11"/>
  <c r="AE291" i="11"/>
  <c r="B185" i="8"/>
  <c r="C578" i="11"/>
  <c r="H12" i="12" l="1"/>
  <c r="R6" i="18" s="1"/>
  <c r="I30" i="18"/>
  <c r="B88" i="17"/>
  <c r="H87" i="17"/>
  <c r="Y87" i="17"/>
  <c r="AL88" i="11"/>
  <c r="J89" i="11"/>
  <c r="Z88" i="11"/>
  <c r="AX88" i="11"/>
  <c r="AR88" i="11"/>
  <c r="S50" i="12"/>
  <c r="AF88" i="11"/>
  <c r="T88" i="11"/>
  <c r="K88" i="11"/>
  <c r="T50" i="12" s="1"/>
  <c r="B179" i="17"/>
  <c r="Y178" i="17"/>
  <c r="H178" i="17"/>
  <c r="L291" i="11"/>
  <c r="AE292" i="11"/>
  <c r="C579" i="11"/>
  <c r="B186" i="8"/>
  <c r="M221" i="11"/>
  <c r="Y222" i="11"/>
  <c r="L149" i="11"/>
  <c r="AE150" i="11"/>
  <c r="M292" i="11"/>
  <c r="Y293" i="11"/>
  <c r="L220" i="11"/>
  <c r="AE221" i="11"/>
  <c r="M151" i="11"/>
  <c r="Y152" i="11"/>
  <c r="B180" i="17" l="1"/>
  <c r="H179" i="17"/>
  <c r="Y179" i="17"/>
  <c r="AF89" i="11"/>
  <c r="J90" i="11"/>
  <c r="S51" i="12"/>
  <c r="T89" i="11"/>
  <c r="Z89" i="11"/>
  <c r="AX89" i="11"/>
  <c r="K89" i="11"/>
  <c r="T51" i="12" s="1"/>
  <c r="AL89" i="11"/>
  <c r="AR89" i="11"/>
  <c r="Y88" i="17"/>
  <c r="B89" i="17"/>
  <c r="H88" i="17"/>
  <c r="B187" i="8"/>
  <c r="C580" i="11"/>
  <c r="L292" i="11"/>
  <c r="AE293" i="11"/>
  <c r="L221" i="11"/>
  <c r="AE222" i="11"/>
  <c r="L150" i="11"/>
  <c r="AE151" i="11"/>
  <c r="M152" i="11"/>
  <c r="Y153" i="11"/>
  <c r="M293" i="11"/>
  <c r="Y294" i="11"/>
  <c r="M222" i="11"/>
  <c r="Y223" i="11"/>
  <c r="H89" i="17" l="1"/>
  <c r="B90" i="17"/>
  <c r="Y89" i="17"/>
  <c r="AF90" i="11"/>
  <c r="J91" i="11"/>
  <c r="S52" i="12"/>
  <c r="Z90" i="11"/>
  <c r="K90" i="11"/>
  <c r="T52" i="12" s="1"/>
  <c r="AR90" i="11"/>
  <c r="T90" i="11"/>
  <c r="AL90" i="11"/>
  <c r="AX90" i="11"/>
  <c r="B181" i="17"/>
  <c r="Y180" i="17"/>
  <c r="H180" i="17"/>
  <c r="O21" i="12"/>
  <c r="O20" i="12"/>
  <c r="C581" i="11"/>
  <c r="B188" i="8"/>
  <c r="M223" i="11"/>
  <c r="Y224" i="11"/>
  <c r="M294" i="11"/>
  <c r="Y295" i="11"/>
  <c r="L222" i="11"/>
  <c r="AE223" i="11"/>
  <c r="L293" i="11"/>
  <c r="AE294" i="11"/>
  <c r="M153" i="11"/>
  <c r="Y154" i="11"/>
  <c r="L151" i="11"/>
  <c r="AE152" i="11"/>
  <c r="Y90" i="17" l="1"/>
  <c r="H90" i="17"/>
  <c r="B91" i="17"/>
  <c r="T91" i="11"/>
  <c r="J92" i="11"/>
  <c r="AF91" i="11"/>
  <c r="Z91" i="11"/>
  <c r="K91" i="11"/>
  <c r="T53" i="12" s="1"/>
  <c r="AL91" i="11"/>
  <c r="AR91" i="11"/>
  <c r="AX91" i="11"/>
  <c r="S53" i="12"/>
  <c r="B182" i="17"/>
  <c r="H181" i="17"/>
  <c r="I181" i="17" s="1"/>
  <c r="Y181" i="17"/>
  <c r="Z181" i="17" s="1"/>
  <c r="R20" i="12"/>
  <c r="R21" i="12" s="1"/>
  <c r="L152" i="11"/>
  <c r="AE153" i="11"/>
  <c r="L294" i="11"/>
  <c r="AE295" i="11"/>
  <c r="M224" i="11"/>
  <c r="Y225" i="11"/>
  <c r="M295" i="11"/>
  <c r="Y296" i="11"/>
  <c r="M154" i="11"/>
  <c r="Y155" i="11"/>
  <c r="L223" i="11"/>
  <c r="AE224" i="11"/>
  <c r="B189" i="8"/>
  <c r="C582" i="11"/>
  <c r="Y182" i="17" l="1"/>
  <c r="Z182" i="17" s="1"/>
  <c r="B183" i="17"/>
  <c r="H182" i="17"/>
  <c r="I182" i="17" s="1"/>
  <c r="K181" i="17"/>
  <c r="O181" i="17" s="1"/>
  <c r="N181" i="17" s="1"/>
  <c r="L181" i="17"/>
  <c r="AB181" i="17"/>
  <c r="X181" i="17"/>
  <c r="Y91" i="17"/>
  <c r="Z91" i="17" s="1"/>
  <c r="H91" i="17"/>
  <c r="I91" i="17" s="1"/>
  <c r="B92" i="17"/>
  <c r="AD181" i="17"/>
  <c r="AE181" i="17"/>
  <c r="AF181" i="17"/>
  <c r="AG182" i="17" s="1"/>
  <c r="AF92" i="11"/>
  <c r="J93" i="11"/>
  <c r="AL92" i="11"/>
  <c r="Z92" i="11"/>
  <c r="AR92" i="11"/>
  <c r="T92" i="11"/>
  <c r="S54" i="12"/>
  <c r="K92" i="11"/>
  <c r="T54" i="12" s="1"/>
  <c r="AX92" i="11"/>
  <c r="L224" i="11"/>
  <c r="AE225" i="11"/>
  <c r="L153" i="11"/>
  <c r="AE154" i="11"/>
  <c r="M225" i="11"/>
  <c r="Y226" i="11"/>
  <c r="C583" i="11"/>
  <c r="B190" i="8"/>
  <c r="M155" i="11"/>
  <c r="Y156" i="11"/>
  <c r="M296" i="11"/>
  <c r="Y297" i="11"/>
  <c r="L295" i="11"/>
  <c r="AE296" i="11"/>
  <c r="AF93" i="11" l="1"/>
  <c r="J94" i="11"/>
  <c r="Z93" i="11"/>
  <c r="T93" i="11"/>
  <c r="S55" i="12"/>
  <c r="AL93" i="11"/>
  <c r="AR93" i="11"/>
  <c r="K93" i="11"/>
  <c r="T55" i="12" s="1"/>
  <c r="AX93" i="11"/>
  <c r="K182" i="17"/>
  <c r="O182" i="17" s="1"/>
  <c r="N182" i="17" s="1"/>
  <c r="X182" i="17"/>
  <c r="L182" i="17"/>
  <c r="AB182" i="17"/>
  <c r="Y92" i="17"/>
  <c r="Z92" i="17" s="1"/>
  <c r="H92" i="17"/>
  <c r="I92" i="17" s="1"/>
  <c r="B93" i="17"/>
  <c r="Y183" i="17"/>
  <c r="Z183" i="17" s="1"/>
  <c r="B184" i="17"/>
  <c r="H183" i="17"/>
  <c r="I183" i="17" s="1"/>
  <c r="AD91" i="17"/>
  <c r="AF91" i="17"/>
  <c r="AG92" i="17" s="1"/>
  <c r="AE91" i="17"/>
  <c r="AB91" i="17"/>
  <c r="K91" i="17"/>
  <c r="O91" i="17" s="1"/>
  <c r="N91" i="17" s="1"/>
  <c r="L91" i="17"/>
  <c r="X91" i="17"/>
  <c r="AD182" i="17"/>
  <c r="AE182" i="17"/>
  <c r="AF182" i="17"/>
  <c r="AG183" i="17" s="1"/>
  <c r="B191" i="8"/>
  <c r="C584" i="11"/>
  <c r="M297" i="11"/>
  <c r="Y298" i="11"/>
  <c r="M156" i="11"/>
  <c r="Y157" i="11"/>
  <c r="M226" i="11"/>
  <c r="Y227" i="11"/>
  <c r="L296" i="11"/>
  <c r="AE297" i="11"/>
  <c r="L154" i="11"/>
  <c r="AE155" i="11"/>
  <c r="L225" i="11"/>
  <c r="AE226" i="11"/>
  <c r="H93" i="17" l="1"/>
  <c r="I93" i="17" s="1"/>
  <c r="B94" i="17"/>
  <c r="Y93" i="17"/>
  <c r="Z93" i="17" s="1"/>
  <c r="V182" i="17"/>
  <c r="AH183" i="17" s="1"/>
  <c r="AI183" i="17" s="1"/>
  <c r="K183" i="17"/>
  <c r="O183" i="17" s="1"/>
  <c r="N183" i="17" s="1"/>
  <c r="AB183" i="17"/>
  <c r="X183" i="17"/>
  <c r="L183" i="17"/>
  <c r="AF94" i="11"/>
  <c r="J95" i="11"/>
  <c r="K94" i="11"/>
  <c r="T56" i="12" s="1"/>
  <c r="AX94" i="11"/>
  <c r="Z94" i="11"/>
  <c r="AR94" i="11"/>
  <c r="AL94" i="11"/>
  <c r="S56" i="12"/>
  <c r="T94" i="11"/>
  <c r="B185" i="17"/>
  <c r="H184" i="17"/>
  <c r="I184" i="17" s="1"/>
  <c r="Y184" i="17"/>
  <c r="Z184" i="17" s="1"/>
  <c r="AE92" i="17"/>
  <c r="AF92" i="17"/>
  <c r="AG93" i="17" s="1"/>
  <c r="AD92" i="17"/>
  <c r="L92" i="17"/>
  <c r="V92" i="17" s="1"/>
  <c r="AH93" i="17" s="1"/>
  <c r="AB92" i="17"/>
  <c r="K92" i="17"/>
  <c r="O92" i="17" s="1"/>
  <c r="N92" i="17" s="1"/>
  <c r="X92" i="17"/>
  <c r="AE183" i="17"/>
  <c r="AF183" i="17"/>
  <c r="AG184" i="17" s="1"/>
  <c r="AD183" i="17"/>
  <c r="M227" i="11"/>
  <c r="Y228" i="11"/>
  <c r="L155" i="11"/>
  <c r="AE156" i="11"/>
  <c r="M298" i="11"/>
  <c r="Y299" i="11"/>
  <c r="L226" i="11"/>
  <c r="AE227" i="11"/>
  <c r="L297" i="11"/>
  <c r="AE298" i="11"/>
  <c r="M157" i="11"/>
  <c r="Y158" i="11"/>
  <c r="C585" i="11"/>
  <c r="B192" i="8"/>
  <c r="L184" i="17" l="1"/>
  <c r="V184" i="17" s="1"/>
  <c r="AH185" i="17" s="1"/>
  <c r="AB184" i="17"/>
  <c r="X184" i="17"/>
  <c r="K184" i="17"/>
  <c r="O184" i="17" s="1"/>
  <c r="N184" i="17" s="1"/>
  <c r="AF95" i="11"/>
  <c r="AX95" i="11"/>
  <c r="AR95" i="11"/>
  <c r="AR117" i="11" s="1"/>
  <c r="T95" i="11"/>
  <c r="T117" i="11" s="1"/>
  <c r="Z95" i="11"/>
  <c r="AL95" i="11"/>
  <c r="AL117" i="11" s="1"/>
  <c r="K95" i="11"/>
  <c r="T57" i="12" s="1"/>
  <c r="S57" i="12"/>
  <c r="AX117" i="11"/>
  <c r="Z117" i="11"/>
  <c r="AF117" i="11"/>
  <c r="AD93" i="17"/>
  <c r="AE93" i="17"/>
  <c r="AF93" i="17"/>
  <c r="AG94" i="17" s="1"/>
  <c r="AI93" i="17"/>
  <c r="H185" i="17"/>
  <c r="I185" i="17" s="1"/>
  <c r="B186" i="17"/>
  <c r="Y185" i="17"/>
  <c r="Z185" i="17" s="1"/>
  <c r="B95" i="17"/>
  <c r="H94" i="17"/>
  <c r="I94" i="17" s="1"/>
  <c r="Y94" i="17"/>
  <c r="Z94" i="17" s="1"/>
  <c r="AK183" i="17"/>
  <c r="V183" i="17"/>
  <c r="AH184" i="17" s="1"/>
  <c r="AI184" i="17" s="1"/>
  <c r="X93" i="17"/>
  <c r="L93" i="17"/>
  <c r="V93" i="17" s="1"/>
  <c r="AH94" i="17" s="1"/>
  <c r="K93" i="17"/>
  <c r="O93" i="17" s="1"/>
  <c r="N93" i="17" s="1"/>
  <c r="AB93" i="17"/>
  <c r="AD184" i="17"/>
  <c r="AF184" i="17"/>
  <c r="AG185" i="17" s="1"/>
  <c r="AE184" i="17"/>
  <c r="J117" i="11"/>
  <c r="M228" i="11"/>
  <c r="Y229" i="11"/>
  <c r="L227" i="11"/>
  <c r="AE228" i="11"/>
  <c r="M299" i="11"/>
  <c r="Y300" i="11"/>
  <c r="L156" i="11"/>
  <c r="AE157" i="11"/>
  <c r="B193" i="8"/>
  <c r="C586" i="11"/>
  <c r="M158" i="11"/>
  <c r="Y159" i="11"/>
  <c r="L298" i="11"/>
  <c r="AE299" i="11"/>
  <c r="AK93" i="17" l="1"/>
  <c r="AK73" i="11"/>
  <c r="AK81" i="11"/>
  <c r="AK78" i="11"/>
  <c r="I78" i="11" s="1"/>
  <c r="AK97" i="11"/>
  <c r="AK77" i="11"/>
  <c r="AK99" i="11"/>
  <c r="AK76" i="11"/>
  <c r="I76" i="11" s="1"/>
  <c r="AK112" i="11"/>
  <c r="AK75" i="11"/>
  <c r="AK69" i="11"/>
  <c r="AK105" i="11"/>
  <c r="AK103" i="11"/>
  <c r="AK74" i="11"/>
  <c r="AK87" i="11"/>
  <c r="AK102" i="11"/>
  <c r="AK85" i="11"/>
  <c r="AK83" i="11"/>
  <c r="AK98" i="11"/>
  <c r="AK92" i="11"/>
  <c r="AK114" i="11"/>
  <c r="AK89" i="11"/>
  <c r="AK61" i="11"/>
  <c r="AK91" i="11"/>
  <c r="I91" i="11" s="1"/>
  <c r="AK58" i="11"/>
  <c r="AK66" i="11"/>
  <c r="AK95" i="11"/>
  <c r="AK82" i="11"/>
  <c r="AK106" i="11"/>
  <c r="AK63" i="11"/>
  <c r="AK113" i="11"/>
  <c r="AK109" i="11"/>
  <c r="I109" i="11" s="1"/>
  <c r="AK111" i="11"/>
  <c r="AK94" i="11"/>
  <c r="AK100" i="11"/>
  <c r="AK68" i="11"/>
  <c r="I68" i="11" s="1"/>
  <c r="AK104" i="11"/>
  <c r="AK64" i="11"/>
  <c r="AK80" i="11"/>
  <c r="AK101" i="11"/>
  <c r="AK72" i="11"/>
  <c r="AK60" i="11"/>
  <c r="AK115" i="11"/>
  <c r="AK70" i="11"/>
  <c r="AK71" i="11"/>
  <c r="AK88" i="11"/>
  <c r="AK90" i="11"/>
  <c r="AK96" i="11"/>
  <c r="AL51" i="11"/>
  <c r="G50" i="11" s="1"/>
  <c r="AK79" i="11"/>
  <c r="AK86" i="11"/>
  <c r="AK62" i="11"/>
  <c r="AK107" i="11"/>
  <c r="AK65" i="11"/>
  <c r="AK84" i="11"/>
  <c r="AK108" i="11"/>
  <c r="AK67" i="11"/>
  <c r="AK93" i="11"/>
  <c r="AK57" i="11"/>
  <c r="AK59" i="11"/>
  <c r="AK110" i="11"/>
  <c r="AK116" i="11"/>
  <c r="AQ57" i="11"/>
  <c r="AQ115" i="11"/>
  <c r="AQ103" i="11"/>
  <c r="AQ90" i="11"/>
  <c r="AQ71" i="11"/>
  <c r="AQ82" i="11"/>
  <c r="AQ100" i="11"/>
  <c r="AQ62" i="11"/>
  <c r="AQ87" i="11"/>
  <c r="AQ66" i="11"/>
  <c r="AR51" i="11"/>
  <c r="G52" i="11" s="1"/>
  <c r="AQ106" i="11"/>
  <c r="AQ101" i="11"/>
  <c r="AQ77" i="11"/>
  <c r="AQ116" i="11"/>
  <c r="AQ81" i="11"/>
  <c r="AQ92" i="11"/>
  <c r="AQ95" i="11"/>
  <c r="AQ109" i="11"/>
  <c r="AQ97" i="11"/>
  <c r="AQ112" i="11"/>
  <c r="AQ79" i="11"/>
  <c r="AQ110" i="11"/>
  <c r="AQ58" i="11"/>
  <c r="AQ111" i="11"/>
  <c r="AQ114" i="11"/>
  <c r="AQ98" i="11"/>
  <c r="AQ107" i="11"/>
  <c r="AQ113" i="11"/>
  <c r="AQ60" i="11"/>
  <c r="AQ108" i="11"/>
  <c r="AQ80" i="11"/>
  <c r="AQ89" i="11"/>
  <c r="AQ69" i="11"/>
  <c r="AQ91" i="11"/>
  <c r="AQ93" i="11"/>
  <c r="AQ59" i="11"/>
  <c r="AQ105" i="11"/>
  <c r="AQ84" i="11"/>
  <c r="AQ61" i="11"/>
  <c r="AQ86" i="11"/>
  <c r="AQ70" i="11"/>
  <c r="AQ85" i="11"/>
  <c r="AQ64" i="11"/>
  <c r="AQ94" i="11"/>
  <c r="AQ72" i="11"/>
  <c r="AQ73" i="11"/>
  <c r="AQ68" i="11"/>
  <c r="AQ104" i="11"/>
  <c r="AQ75" i="11"/>
  <c r="AQ63" i="11"/>
  <c r="AQ99" i="11"/>
  <c r="AQ74" i="11"/>
  <c r="AQ96" i="11"/>
  <c r="AQ76" i="11"/>
  <c r="AQ78" i="11"/>
  <c r="AQ102" i="11"/>
  <c r="AQ65" i="11"/>
  <c r="AQ88" i="11"/>
  <c r="AQ83" i="11"/>
  <c r="AQ67" i="11"/>
  <c r="K94" i="17"/>
  <c r="O94" i="17" s="1"/>
  <c r="N94" i="17" s="1"/>
  <c r="L94" i="17"/>
  <c r="V94" i="17" s="1"/>
  <c r="AH95" i="17" s="1"/>
  <c r="X94" i="17"/>
  <c r="AB94" i="17"/>
  <c r="Y83" i="11"/>
  <c r="Y91" i="11"/>
  <c r="Y67" i="11"/>
  <c r="Y96" i="11"/>
  <c r="Y87" i="11"/>
  <c r="Y58" i="11"/>
  <c r="Y107" i="11"/>
  <c r="Y110" i="11"/>
  <c r="Y76" i="11"/>
  <c r="Z51" i="11"/>
  <c r="F51" i="11" s="1"/>
  <c r="Y89" i="11"/>
  <c r="Y101" i="11"/>
  <c r="Y97" i="11"/>
  <c r="Y61" i="11"/>
  <c r="Y109" i="11"/>
  <c r="Y72" i="11"/>
  <c r="Y70" i="11"/>
  <c r="M70" i="11" s="1"/>
  <c r="Y59" i="11"/>
  <c r="Y98" i="11"/>
  <c r="Y103" i="11"/>
  <c r="Y113" i="11"/>
  <c r="Y65" i="11"/>
  <c r="Y112" i="11"/>
  <c r="Y77" i="11"/>
  <c r="Y115" i="11"/>
  <c r="Y74" i="11"/>
  <c r="Y57" i="11"/>
  <c r="Y90" i="11"/>
  <c r="Y64" i="11"/>
  <c r="Y116" i="11"/>
  <c r="Y69" i="11"/>
  <c r="Y68" i="11"/>
  <c r="Y88" i="11"/>
  <c r="Y79" i="11"/>
  <c r="Y66" i="11"/>
  <c r="Y63" i="11"/>
  <c r="Y84" i="11"/>
  <c r="Y100" i="11"/>
  <c r="Y92" i="11"/>
  <c r="Y85" i="11"/>
  <c r="Y86" i="11"/>
  <c r="Y99" i="11"/>
  <c r="Y106" i="11"/>
  <c r="Y102" i="11"/>
  <c r="Y71" i="11"/>
  <c r="Y73" i="11"/>
  <c r="M73" i="11" s="1"/>
  <c r="Y114" i="11"/>
  <c r="Y75" i="11"/>
  <c r="Y93" i="11"/>
  <c r="Y60" i="11"/>
  <c r="Y111" i="11"/>
  <c r="Y105" i="11"/>
  <c r="Y108" i="11"/>
  <c r="Y104" i="11"/>
  <c r="Y82" i="11"/>
  <c r="Y62" i="11"/>
  <c r="Y78" i="11"/>
  <c r="Y95" i="11"/>
  <c r="Y94" i="11"/>
  <c r="Y80" i="11"/>
  <c r="Y81" i="11"/>
  <c r="H95" i="17"/>
  <c r="I95" i="17" s="1"/>
  <c r="B96" i="17"/>
  <c r="Y95" i="17"/>
  <c r="Z95" i="17" s="1"/>
  <c r="S88" i="11"/>
  <c r="S74" i="11"/>
  <c r="S70" i="11"/>
  <c r="S68" i="11"/>
  <c r="S96" i="11"/>
  <c r="S95" i="11"/>
  <c r="S89" i="11"/>
  <c r="S77" i="11"/>
  <c r="S87" i="11"/>
  <c r="S98" i="11"/>
  <c r="S72" i="11"/>
  <c r="S86" i="11"/>
  <c r="S85" i="11"/>
  <c r="T51" i="11"/>
  <c r="F50" i="11" s="1"/>
  <c r="S83" i="11"/>
  <c r="S111" i="11"/>
  <c r="S58" i="11"/>
  <c r="I58" i="11" s="1"/>
  <c r="S112" i="11"/>
  <c r="S63" i="11"/>
  <c r="S60" i="11"/>
  <c r="S110" i="11"/>
  <c r="S79" i="11"/>
  <c r="S104" i="11"/>
  <c r="S90" i="11"/>
  <c r="S97" i="11"/>
  <c r="S84" i="11"/>
  <c r="S103" i="11"/>
  <c r="S78" i="11"/>
  <c r="S101" i="11"/>
  <c r="S67" i="11"/>
  <c r="S108" i="11"/>
  <c r="S65" i="11"/>
  <c r="S71" i="11"/>
  <c r="S92" i="11"/>
  <c r="S82" i="11"/>
  <c r="S76" i="11"/>
  <c r="S57" i="11"/>
  <c r="S113" i="11"/>
  <c r="S105" i="11"/>
  <c r="S73" i="11"/>
  <c r="S115" i="11"/>
  <c r="S93" i="11"/>
  <c r="S81" i="11"/>
  <c r="S116" i="11"/>
  <c r="S59" i="11"/>
  <c r="I59" i="11" s="1"/>
  <c r="S100" i="11"/>
  <c r="S102" i="11"/>
  <c r="S109" i="11"/>
  <c r="S62" i="11"/>
  <c r="S64" i="11"/>
  <c r="S107" i="11"/>
  <c r="S114" i="11"/>
  <c r="S80" i="11"/>
  <c r="S99" i="11"/>
  <c r="S61" i="11"/>
  <c r="S91" i="11"/>
  <c r="S75" i="11"/>
  <c r="S106" i="11"/>
  <c r="S66" i="11"/>
  <c r="S69" i="11"/>
  <c r="S94" i="11"/>
  <c r="AF185" i="17"/>
  <c r="AG186" i="17" s="1"/>
  <c r="AD185" i="17"/>
  <c r="AE185" i="17"/>
  <c r="K117" i="11"/>
  <c r="AI185" i="17"/>
  <c r="K185" i="17"/>
  <c r="O185" i="17" s="1"/>
  <c r="N185" i="17" s="1"/>
  <c r="X185" i="17"/>
  <c r="AB185" i="17"/>
  <c r="L185" i="17"/>
  <c r="V185" i="17" s="1"/>
  <c r="AH186" i="17" s="1"/>
  <c r="AW63" i="11"/>
  <c r="AW106" i="11"/>
  <c r="AW93" i="11"/>
  <c r="AW109" i="11"/>
  <c r="AW74" i="11"/>
  <c r="AW97" i="11"/>
  <c r="AW101" i="11"/>
  <c r="AW77" i="11"/>
  <c r="AW110" i="11"/>
  <c r="AW64" i="11"/>
  <c r="AW104" i="11"/>
  <c r="AW72" i="11"/>
  <c r="AW90" i="11"/>
  <c r="AW105" i="11"/>
  <c r="AW98" i="11"/>
  <c r="AW92" i="11"/>
  <c r="AW111" i="11"/>
  <c r="AW79" i="11"/>
  <c r="AW102" i="11"/>
  <c r="AW85" i="11"/>
  <c r="AW94" i="11"/>
  <c r="AW59" i="11"/>
  <c r="AW65" i="11"/>
  <c r="AW95" i="11"/>
  <c r="AW76" i="11"/>
  <c r="AW61" i="11"/>
  <c r="AW103" i="11"/>
  <c r="AW80" i="11"/>
  <c r="AW115" i="11"/>
  <c r="AW87" i="11"/>
  <c r="AW70" i="11"/>
  <c r="AX51" i="11"/>
  <c r="G51" i="11" s="1"/>
  <c r="AW91" i="11"/>
  <c r="AW99" i="11"/>
  <c r="AW57" i="11"/>
  <c r="AW60" i="11"/>
  <c r="AW113" i="11"/>
  <c r="AW69" i="11"/>
  <c r="AW71" i="11"/>
  <c r="AW58" i="11"/>
  <c r="AW100" i="11"/>
  <c r="AW73" i="11"/>
  <c r="AW66" i="11"/>
  <c r="AW83" i="11"/>
  <c r="AW68" i="11"/>
  <c r="AW89" i="11"/>
  <c r="AW75" i="11"/>
  <c r="AW114" i="11"/>
  <c r="AW62" i="11"/>
  <c r="AW84" i="11"/>
  <c r="AW78" i="11"/>
  <c r="AW112" i="11"/>
  <c r="AW116" i="11"/>
  <c r="AW81" i="11"/>
  <c r="AW82" i="11"/>
  <c r="AW86" i="11"/>
  <c r="AW108" i="11"/>
  <c r="AW96" i="11"/>
  <c r="AW67" i="11"/>
  <c r="AW107" i="11"/>
  <c r="AW88" i="11"/>
  <c r="AK184" i="17"/>
  <c r="AF94" i="17"/>
  <c r="AG95" i="17" s="1"/>
  <c r="AE94" i="17"/>
  <c r="AD94" i="17"/>
  <c r="Y186" i="17"/>
  <c r="Z186" i="17" s="1"/>
  <c r="H186" i="17"/>
  <c r="I186" i="17" s="1"/>
  <c r="B187" i="17"/>
  <c r="AI94" i="17"/>
  <c r="AF51" i="11"/>
  <c r="F52" i="11" s="1"/>
  <c r="AE89" i="11"/>
  <c r="AE84" i="11"/>
  <c r="AE73" i="11"/>
  <c r="AE67" i="11"/>
  <c r="AE61" i="11"/>
  <c r="AE68" i="11"/>
  <c r="AE65" i="11"/>
  <c r="AE75" i="11"/>
  <c r="AE81" i="11"/>
  <c r="AE87" i="11"/>
  <c r="AE72" i="11"/>
  <c r="AE69" i="11"/>
  <c r="L69" i="11" s="1"/>
  <c r="AE112" i="11"/>
  <c r="AE99" i="11"/>
  <c r="AE59" i="11"/>
  <c r="AE58" i="11"/>
  <c r="AE104" i="11"/>
  <c r="AE103" i="11"/>
  <c r="AE70" i="11"/>
  <c r="AE74" i="11"/>
  <c r="AE93" i="11"/>
  <c r="AE78" i="11"/>
  <c r="AE63" i="11"/>
  <c r="L63" i="11" s="1"/>
  <c r="AE92" i="11"/>
  <c r="AE60" i="11"/>
  <c r="AE114" i="11"/>
  <c r="AE62" i="11"/>
  <c r="L62" i="11" s="1"/>
  <c r="AE110" i="11"/>
  <c r="AE80" i="11"/>
  <c r="AE86" i="11"/>
  <c r="L86" i="11" s="1"/>
  <c r="AE77" i="11"/>
  <c r="AE79" i="11"/>
  <c r="L79" i="11" s="1"/>
  <c r="AE90" i="11"/>
  <c r="AE116" i="11"/>
  <c r="AE88" i="11"/>
  <c r="AE82" i="11"/>
  <c r="AE106" i="11"/>
  <c r="AE95" i="11"/>
  <c r="AE109" i="11"/>
  <c r="AE102" i="11"/>
  <c r="AE71" i="11"/>
  <c r="L71" i="11" s="1"/>
  <c r="AE57" i="11"/>
  <c r="AE113" i="11"/>
  <c r="AE64" i="11"/>
  <c r="L64" i="11" s="1"/>
  <c r="AE111" i="11"/>
  <c r="AE98" i="11"/>
  <c r="AE100" i="11"/>
  <c r="AE66" i="11"/>
  <c r="AE85" i="11"/>
  <c r="AE105" i="11"/>
  <c r="AE83" i="11"/>
  <c r="AE91" i="11"/>
  <c r="AE76" i="11"/>
  <c r="AE115" i="11"/>
  <c r="AE96" i="11"/>
  <c r="AE94" i="11"/>
  <c r="AE107" i="11"/>
  <c r="AE97" i="11"/>
  <c r="AE108" i="11"/>
  <c r="AE101" i="11"/>
  <c r="M229" i="11"/>
  <c r="Y230" i="11"/>
  <c r="M159" i="11"/>
  <c r="Y160" i="11"/>
  <c r="L228" i="11"/>
  <c r="AE229" i="11"/>
  <c r="L299" i="11"/>
  <c r="AE300" i="11"/>
  <c r="C587" i="11"/>
  <c r="B194" i="8"/>
  <c r="M300" i="11"/>
  <c r="Y301" i="11"/>
  <c r="L157" i="11"/>
  <c r="AE158" i="11"/>
  <c r="I93" i="11" l="1"/>
  <c r="I79" i="11"/>
  <c r="Q41" i="12" s="1"/>
  <c r="I64" i="11"/>
  <c r="Q26" i="12" s="1"/>
  <c r="I74" i="11"/>
  <c r="Q36" i="12" s="1"/>
  <c r="I116" i="11"/>
  <c r="I65" i="11"/>
  <c r="Q27" i="12" s="1"/>
  <c r="I60" i="11"/>
  <c r="Q22" i="12" s="1"/>
  <c r="I77" i="11"/>
  <c r="Q39" i="12" s="1"/>
  <c r="I73" i="11"/>
  <c r="Q35" i="12" s="1"/>
  <c r="L83" i="11"/>
  <c r="L77" i="11"/>
  <c r="L70" i="11"/>
  <c r="L72" i="11"/>
  <c r="M82" i="11"/>
  <c r="M66" i="11"/>
  <c r="M69" i="11"/>
  <c r="I92" i="11"/>
  <c r="I108" i="11"/>
  <c r="I62" i="11"/>
  <c r="Q24" i="12" s="1"/>
  <c r="I96" i="11"/>
  <c r="I70" i="11"/>
  <c r="Q32" i="12" s="1"/>
  <c r="I101" i="11"/>
  <c r="I82" i="11"/>
  <c r="Q44" i="12" s="1"/>
  <c r="I102" i="11"/>
  <c r="I105" i="11"/>
  <c r="I84" i="11"/>
  <c r="Q46" i="12" s="1"/>
  <c r="I86" i="11"/>
  <c r="Q48" i="12" s="1"/>
  <c r="I90" i="11"/>
  <c r="I115" i="11"/>
  <c r="I80" i="11"/>
  <c r="I100" i="11"/>
  <c r="I113" i="11"/>
  <c r="I95" i="11"/>
  <c r="I61" i="11"/>
  <c r="Q23" i="12" s="1"/>
  <c r="I98" i="11"/>
  <c r="I87" i="11"/>
  <c r="Q49" i="12" s="1"/>
  <c r="I69" i="11"/>
  <c r="Q31" i="12" s="1"/>
  <c r="I99" i="11"/>
  <c r="I81" i="11"/>
  <c r="Q43" i="12" s="1"/>
  <c r="I88" i="11"/>
  <c r="Q50" i="12" s="1"/>
  <c r="I94" i="11"/>
  <c r="I63" i="11"/>
  <c r="Q25" i="12" s="1"/>
  <c r="I66" i="11"/>
  <c r="Q28" i="12" s="1"/>
  <c r="I89" i="11"/>
  <c r="I83" i="11"/>
  <c r="Q45" i="12" s="1"/>
  <c r="I75" i="11"/>
  <c r="Q37" i="12" s="1"/>
  <c r="I110" i="11"/>
  <c r="I67" i="11"/>
  <c r="Q29" i="12" s="1"/>
  <c r="I107" i="11"/>
  <c r="I71" i="11"/>
  <c r="Q33" i="12" s="1"/>
  <c r="I72" i="11"/>
  <c r="Q34" i="12" s="1"/>
  <c r="I104" i="11"/>
  <c r="I111" i="11"/>
  <c r="I106" i="11"/>
  <c r="I114" i="11"/>
  <c r="I85" i="11"/>
  <c r="Q47" i="12" s="1"/>
  <c r="I103" i="11"/>
  <c r="I112" i="11"/>
  <c r="I97" i="11"/>
  <c r="L85" i="11"/>
  <c r="L80" i="11"/>
  <c r="M84" i="11"/>
  <c r="M76" i="11"/>
  <c r="L60" i="11"/>
  <c r="M85" i="11"/>
  <c r="M63" i="11"/>
  <c r="L58" i="11"/>
  <c r="L59" i="11"/>
  <c r="L73" i="11"/>
  <c r="M57" i="11"/>
  <c r="L76" i="11"/>
  <c r="L81" i="11"/>
  <c r="L61" i="11"/>
  <c r="Q42" i="12"/>
  <c r="M81" i="11"/>
  <c r="M78" i="11"/>
  <c r="M71" i="11"/>
  <c r="M86" i="11"/>
  <c r="M64" i="11"/>
  <c r="M87" i="11"/>
  <c r="M83" i="11"/>
  <c r="M67" i="11"/>
  <c r="L84" i="11"/>
  <c r="M74" i="11"/>
  <c r="M59" i="11"/>
  <c r="Q40" i="12"/>
  <c r="Q30" i="12"/>
  <c r="L66" i="11"/>
  <c r="L82" i="11"/>
  <c r="L74" i="11"/>
  <c r="L75" i="11"/>
  <c r="L67" i="11"/>
  <c r="M80" i="11"/>
  <c r="M62" i="11"/>
  <c r="M75" i="11"/>
  <c r="M68" i="11"/>
  <c r="M77" i="11"/>
  <c r="M72" i="11"/>
  <c r="L65" i="11"/>
  <c r="L57" i="11"/>
  <c r="L78" i="11"/>
  <c r="L68" i="11"/>
  <c r="M60" i="11"/>
  <c r="M79" i="11"/>
  <c r="M65" i="11"/>
  <c r="M61" i="11"/>
  <c r="M58" i="11"/>
  <c r="AK94" i="17"/>
  <c r="Q20" i="12"/>
  <c r="Q21" i="12"/>
  <c r="E50" i="11"/>
  <c r="Q38" i="12"/>
  <c r="AD77" i="11"/>
  <c r="AD112" i="11"/>
  <c r="AD72" i="11"/>
  <c r="AD62" i="11"/>
  <c r="AD63" i="11"/>
  <c r="AD61" i="11"/>
  <c r="AD60" i="11"/>
  <c r="AD59" i="11"/>
  <c r="AD73" i="11"/>
  <c r="AD107" i="11"/>
  <c r="AD93" i="11"/>
  <c r="AD115" i="11"/>
  <c r="AD99" i="11"/>
  <c r="AD70" i="11"/>
  <c r="AD65" i="11"/>
  <c r="AD106" i="11"/>
  <c r="AD84" i="11"/>
  <c r="AD58" i="11"/>
  <c r="AD104" i="11"/>
  <c r="AD82" i="11"/>
  <c r="AD87" i="11"/>
  <c r="AD67" i="11"/>
  <c r="AD92" i="11"/>
  <c r="AD88" i="11"/>
  <c r="AD78" i="11"/>
  <c r="AD114" i="11"/>
  <c r="AD101" i="11"/>
  <c r="AD91" i="11"/>
  <c r="AD83" i="11"/>
  <c r="AD71" i="11"/>
  <c r="AD108" i="11"/>
  <c r="AD97" i="11"/>
  <c r="AD80" i="11"/>
  <c r="AD75" i="11"/>
  <c r="AD98" i="11"/>
  <c r="AD113" i="11"/>
  <c r="AD74" i="11"/>
  <c r="AD66" i="11"/>
  <c r="E52" i="11"/>
  <c r="AD86" i="11"/>
  <c r="AD69" i="11"/>
  <c r="AD103" i="11"/>
  <c r="AD110" i="11"/>
  <c r="AD102" i="11"/>
  <c r="AD111" i="11"/>
  <c r="AD57" i="11"/>
  <c r="AD64" i="11"/>
  <c r="AD89" i="11"/>
  <c r="AD100" i="11"/>
  <c r="AD105" i="11"/>
  <c r="AD76" i="11"/>
  <c r="AD95" i="11"/>
  <c r="AD109" i="11"/>
  <c r="AD94" i="11"/>
  <c r="AD68" i="11"/>
  <c r="AD79" i="11"/>
  <c r="AD81" i="11"/>
  <c r="AD96" i="11"/>
  <c r="AD116" i="11"/>
  <c r="AD85" i="11"/>
  <c r="AD90" i="11"/>
  <c r="AE186" i="17"/>
  <c r="AD186" i="17"/>
  <c r="AF186" i="17"/>
  <c r="AG187" i="17" s="1"/>
  <c r="K95" i="17"/>
  <c r="O95" i="17" s="1"/>
  <c r="N95" i="17" s="1"/>
  <c r="P95" i="17" s="1"/>
  <c r="X95" i="17"/>
  <c r="L95" i="17"/>
  <c r="V95" i="17" s="1"/>
  <c r="AH96" i="17" s="1"/>
  <c r="AB95" i="17"/>
  <c r="AP59" i="11"/>
  <c r="AP100" i="11"/>
  <c r="AP114" i="11"/>
  <c r="AP113" i="11"/>
  <c r="AP88" i="11"/>
  <c r="AP77" i="11"/>
  <c r="AP82" i="11"/>
  <c r="AP90" i="11"/>
  <c r="AP87" i="11"/>
  <c r="AP89" i="11"/>
  <c r="AP76" i="11"/>
  <c r="AP80" i="11"/>
  <c r="AP71" i="11"/>
  <c r="AP110" i="11"/>
  <c r="AP112" i="11"/>
  <c r="AP57" i="11"/>
  <c r="AP78" i="11"/>
  <c r="AP107" i="11"/>
  <c r="AP60" i="11"/>
  <c r="AP98" i="11"/>
  <c r="AP95" i="11"/>
  <c r="AP99" i="11"/>
  <c r="AP81" i="11"/>
  <c r="AP74" i="11"/>
  <c r="AP61" i="11"/>
  <c r="AP75" i="11"/>
  <c r="AP72" i="11"/>
  <c r="AP84" i="11"/>
  <c r="AP101" i="11"/>
  <c r="AP73" i="11"/>
  <c r="AP64" i="11"/>
  <c r="AP102" i="11"/>
  <c r="AP66" i="11"/>
  <c r="AP106" i="11"/>
  <c r="AP115" i="11"/>
  <c r="AP63" i="11"/>
  <c r="AP62" i="11"/>
  <c r="AP108" i="11"/>
  <c r="AP68" i="11"/>
  <c r="AP67" i="11"/>
  <c r="AP70" i="11"/>
  <c r="AP65" i="11"/>
  <c r="AP79" i="11"/>
  <c r="AP109" i="11"/>
  <c r="AP116" i="11"/>
  <c r="AP92" i="11"/>
  <c r="AP104" i="11"/>
  <c r="AP96" i="11"/>
  <c r="AP93" i="11"/>
  <c r="AP86" i="11"/>
  <c r="AP69" i="11"/>
  <c r="AP105" i="11"/>
  <c r="AP58" i="11"/>
  <c r="AP103" i="11"/>
  <c r="AP94" i="11"/>
  <c r="AP83" i="11"/>
  <c r="AP111" i="11"/>
  <c r="AP97" i="11"/>
  <c r="AP85" i="11"/>
  <c r="AP91" i="11"/>
  <c r="AJ116" i="11"/>
  <c r="AJ73" i="11"/>
  <c r="AJ92" i="11"/>
  <c r="AJ111" i="11"/>
  <c r="AJ62" i="11"/>
  <c r="AJ96" i="11"/>
  <c r="AJ89" i="11"/>
  <c r="AJ113" i="11"/>
  <c r="AJ60" i="11"/>
  <c r="AJ115" i="11"/>
  <c r="AJ98" i="11"/>
  <c r="AJ97" i="11"/>
  <c r="AJ106" i="11"/>
  <c r="AJ61" i="11"/>
  <c r="AJ88" i="11"/>
  <c r="AJ84" i="11"/>
  <c r="AJ66" i="11"/>
  <c r="AJ63" i="11"/>
  <c r="AJ85" i="11"/>
  <c r="AJ69" i="11"/>
  <c r="AJ107" i="11"/>
  <c r="AJ114" i="11"/>
  <c r="AJ108" i="11"/>
  <c r="AJ81" i="11"/>
  <c r="AJ82" i="11"/>
  <c r="AJ57" i="11"/>
  <c r="AJ103" i="11"/>
  <c r="AJ68" i="11"/>
  <c r="AJ100" i="11"/>
  <c r="AJ105" i="11"/>
  <c r="AJ95" i="11"/>
  <c r="AJ90" i="11"/>
  <c r="AJ104" i="11"/>
  <c r="AJ91" i="11"/>
  <c r="AJ109" i="11"/>
  <c r="AJ75" i="11"/>
  <c r="AJ101" i="11"/>
  <c r="AJ94" i="11"/>
  <c r="AJ71" i="11"/>
  <c r="AJ83" i="11"/>
  <c r="AJ99" i="11"/>
  <c r="AJ110" i="11"/>
  <c r="AJ76" i="11"/>
  <c r="AJ86" i="11"/>
  <c r="AJ74" i="11"/>
  <c r="AJ102" i="11"/>
  <c r="AJ59" i="11"/>
  <c r="AJ72" i="11"/>
  <c r="AJ79" i="11"/>
  <c r="AJ78" i="11"/>
  <c r="AJ93" i="11"/>
  <c r="AJ112" i="11"/>
  <c r="AJ64" i="11"/>
  <c r="AJ87" i="11"/>
  <c r="AJ77" i="11"/>
  <c r="AJ58" i="11"/>
  <c r="AJ80" i="11"/>
  <c r="AJ67" i="11"/>
  <c r="AJ70" i="11"/>
  <c r="AJ65" i="11"/>
  <c r="P185" i="17"/>
  <c r="AQ185" i="17" s="1"/>
  <c r="Y187" i="17"/>
  <c r="Z187" i="17" s="1"/>
  <c r="B188" i="17"/>
  <c r="H187" i="17"/>
  <c r="I187" i="17" s="1"/>
  <c r="AV104" i="11"/>
  <c r="AV92" i="11"/>
  <c r="AV88" i="11"/>
  <c r="AV65" i="11"/>
  <c r="AV72" i="11"/>
  <c r="AV110" i="11"/>
  <c r="AV79" i="11"/>
  <c r="AV57" i="11"/>
  <c r="AV74" i="11"/>
  <c r="AV105" i="11"/>
  <c r="AV68" i="11"/>
  <c r="AV86" i="11"/>
  <c r="AV66" i="11"/>
  <c r="AV64" i="11"/>
  <c r="AV89" i="11"/>
  <c r="AV75" i="11"/>
  <c r="AV81" i="11"/>
  <c r="AV115" i="11"/>
  <c r="AV111" i="11"/>
  <c r="AV77" i="11"/>
  <c r="AV69" i="11"/>
  <c r="AV82" i="11"/>
  <c r="AV76" i="11"/>
  <c r="AV78" i="11"/>
  <c r="AV84" i="11"/>
  <c r="AV103" i="11"/>
  <c r="AV83" i="11"/>
  <c r="AV91" i="11"/>
  <c r="AV61" i="11"/>
  <c r="AV62" i="11"/>
  <c r="AV113" i="11"/>
  <c r="AV85" i="11"/>
  <c r="AV101" i="11"/>
  <c r="AV116" i="11"/>
  <c r="AV106" i="11"/>
  <c r="AV108" i="11"/>
  <c r="AV96" i="11"/>
  <c r="AV59" i="11"/>
  <c r="AV112" i="11"/>
  <c r="AV94" i="11"/>
  <c r="AV100" i="11"/>
  <c r="AV95" i="11"/>
  <c r="AV58" i="11"/>
  <c r="AV114" i="11"/>
  <c r="AV63" i="11"/>
  <c r="AV73" i="11"/>
  <c r="AV87" i="11"/>
  <c r="AV70" i="11"/>
  <c r="AV80" i="11"/>
  <c r="AV97" i="11"/>
  <c r="AV109" i="11"/>
  <c r="AV99" i="11"/>
  <c r="AV93" i="11"/>
  <c r="AV67" i="11"/>
  <c r="AV102" i="11"/>
  <c r="AV98" i="11"/>
  <c r="AV60" i="11"/>
  <c r="AV71" i="11"/>
  <c r="AV90" i="11"/>
  <c r="AV107" i="11"/>
  <c r="AK185" i="17"/>
  <c r="AI186" i="17"/>
  <c r="R114" i="11"/>
  <c r="R100" i="11"/>
  <c r="R94" i="11"/>
  <c r="R75" i="11"/>
  <c r="R113" i="11"/>
  <c r="R68" i="11"/>
  <c r="R109" i="11"/>
  <c r="R105" i="11"/>
  <c r="R92" i="11"/>
  <c r="R116" i="11"/>
  <c r="R91" i="11"/>
  <c r="R62" i="11"/>
  <c r="R115" i="11"/>
  <c r="R71" i="11"/>
  <c r="R69" i="11"/>
  <c r="R104" i="11"/>
  <c r="R65" i="11"/>
  <c r="R58" i="11"/>
  <c r="G58" i="11" s="1"/>
  <c r="R61" i="11"/>
  <c r="R66" i="11"/>
  <c r="R57" i="11"/>
  <c r="R96" i="11"/>
  <c r="R70" i="11"/>
  <c r="R101" i="11"/>
  <c r="R88" i="11"/>
  <c r="R90" i="11"/>
  <c r="R59" i="11"/>
  <c r="G59" i="11" s="1"/>
  <c r="R82" i="11"/>
  <c r="R106" i="11"/>
  <c r="R102" i="11"/>
  <c r="R79" i="11"/>
  <c r="R83" i="11"/>
  <c r="R85" i="11"/>
  <c r="R87" i="11"/>
  <c r="R77" i="11"/>
  <c r="R103" i="11"/>
  <c r="R78" i="11"/>
  <c r="R112" i="11"/>
  <c r="R74" i="11"/>
  <c r="R72" i="11"/>
  <c r="R99" i="11"/>
  <c r="R89" i="11"/>
  <c r="R76" i="11"/>
  <c r="R81" i="11"/>
  <c r="R97" i="11"/>
  <c r="R67" i="11"/>
  <c r="R63" i="11"/>
  <c r="R110" i="11"/>
  <c r="R111" i="11"/>
  <c r="R108" i="11"/>
  <c r="R73" i="11"/>
  <c r="R93" i="11"/>
  <c r="R107" i="11"/>
  <c r="R86" i="11"/>
  <c r="R98" i="11"/>
  <c r="R64" i="11"/>
  <c r="R60" i="11"/>
  <c r="R95" i="11"/>
  <c r="R80" i="11"/>
  <c r="R84" i="11"/>
  <c r="AD95" i="17"/>
  <c r="AE95" i="17"/>
  <c r="AF95" i="17"/>
  <c r="AG96" i="17" s="1"/>
  <c r="X85" i="11"/>
  <c r="X61" i="11"/>
  <c r="X83" i="11"/>
  <c r="X106" i="11"/>
  <c r="X76" i="11"/>
  <c r="X104" i="11"/>
  <c r="X65" i="11"/>
  <c r="X111" i="11"/>
  <c r="X109" i="11"/>
  <c r="X105" i="11"/>
  <c r="X112" i="11"/>
  <c r="X81" i="11"/>
  <c r="X60" i="11"/>
  <c r="X89" i="11"/>
  <c r="X116" i="11"/>
  <c r="X69" i="11"/>
  <c r="X91" i="11"/>
  <c r="X92" i="11"/>
  <c r="X71" i="11"/>
  <c r="X79" i="11"/>
  <c r="X66" i="11"/>
  <c r="X96" i="11"/>
  <c r="X94" i="11"/>
  <c r="X73" i="11"/>
  <c r="X98" i="11"/>
  <c r="X103" i="11"/>
  <c r="X78" i="11"/>
  <c r="X63" i="11"/>
  <c r="X82" i="11"/>
  <c r="X97" i="11"/>
  <c r="X58" i="11"/>
  <c r="X64" i="11"/>
  <c r="X86" i="11"/>
  <c r="X107" i="11"/>
  <c r="X72" i="11"/>
  <c r="X62" i="11"/>
  <c r="X84" i="11"/>
  <c r="X100" i="11"/>
  <c r="X108" i="11"/>
  <c r="X70" i="11"/>
  <c r="X114" i="11"/>
  <c r="X113" i="11"/>
  <c r="X80" i="11"/>
  <c r="X59" i="11"/>
  <c r="E51" i="11"/>
  <c r="X115" i="11"/>
  <c r="X67" i="11"/>
  <c r="X77" i="11"/>
  <c r="X93" i="11"/>
  <c r="X101" i="11"/>
  <c r="X87" i="11"/>
  <c r="X57" i="11"/>
  <c r="X95" i="11"/>
  <c r="X74" i="11"/>
  <c r="X102" i="11"/>
  <c r="X90" i="11"/>
  <c r="X68" i="11"/>
  <c r="X110" i="11"/>
  <c r="X75" i="11"/>
  <c r="X88" i="11"/>
  <c r="X99" i="11"/>
  <c r="AB186" i="17"/>
  <c r="X186" i="17"/>
  <c r="L186" i="17"/>
  <c r="V186" i="17" s="1"/>
  <c r="AH187" i="17" s="1"/>
  <c r="K186" i="17"/>
  <c r="O186" i="17" s="1"/>
  <c r="N186" i="17" s="1"/>
  <c r="AI95" i="17"/>
  <c r="H96" i="17"/>
  <c r="I96" i="17" s="1"/>
  <c r="Y96" i="17"/>
  <c r="Z96" i="17" s="1"/>
  <c r="B97" i="17"/>
  <c r="M88" i="11"/>
  <c r="B195" i="8"/>
  <c r="C588" i="11"/>
  <c r="M301" i="11"/>
  <c r="Y302" i="11"/>
  <c r="L229" i="11"/>
  <c r="AE230" i="11"/>
  <c r="M230" i="11"/>
  <c r="Y231" i="11"/>
  <c r="L158" i="11"/>
  <c r="AE159" i="11"/>
  <c r="M160" i="11"/>
  <c r="Y161" i="11"/>
  <c r="L300" i="11"/>
  <c r="AE301" i="11"/>
  <c r="L87" i="11"/>
  <c r="G67" i="11" l="1"/>
  <c r="J29" i="12" s="1"/>
  <c r="O29" i="12" s="1"/>
  <c r="G87" i="11"/>
  <c r="J49" i="12" s="1"/>
  <c r="O49" i="12" s="1"/>
  <c r="G102" i="11"/>
  <c r="J64" i="12" s="1"/>
  <c r="O64" i="12" s="1"/>
  <c r="P64" i="12" s="1"/>
  <c r="G94" i="11"/>
  <c r="J56" i="12" s="1"/>
  <c r="G91" i="11"/>
  <c r="J53" i="12" s="1"/>
  <c r="O53" i="12" s="1"/>
  <c r="P53" i="12" s="1"/>
  <c r="G63" i="11"/>
  <c r="J25" i="12" s="1"/>
  <c r="O25" i="12" s="1"/>
  <c r="G61" i="11"/>
  <c r="J23" i="12" s="1"/>
  <c r="O23" i="12" s="1"/>
  <c r="G96" i="11"/>
  <c r="J58" i="12" s="1"/>
  <c r="O58" i="12" s="1"/>
  <c r="P58" i="12" s="1"/>
  <c r="G73" i="11"/>
  <c r="J35" i="12" s="1"/>
  <c r="O35" i="12" s="1"/>
  <c r="G70" i="11"/>
  <c r="J32" i="12" s="1"/>
  <c r="O32" i="12" s="1"/>
  <c r="G77" i="11"/>
  <c r="J39" i="12" s="1"/>
  <c r="D137" i="17" s="1"/>
  <c r="G93" i="11"/>
  <c r="J55" i="12" s="1"/>
  <c r="O55" i="12" s="1"/>
  <c r="G76" i="11"/>
  <c r="J38" i="12" s="1"/>
  <c r="D136" i="17" s="1"/>
  <c r="G71" i="11"/>
  <c r="J33" i="12" s="1"/>
  <c r="O33" i="12" s="1"/>
  <c r="G109" i="11"/>
  <c r="J71" i="12" s="1"/>
  <c r="D169" i="17" s="1"/>
  <c r="G95" i="11"/>
  <c r="J57" i="12" s="1"/>
  <c r="G103" i="11"/>
  <c r="J65" i="12" s="1"/>
  <c r="O65" i="12" s="1"/>
  <c r="P65" i="12" s="1"/>
  <c r="G108" i="11"/>
  <c r="J70" i="12" s="1"/>
  <c r="D168" i="17" s="1"/>
  <c r="G98" i="11"/>
  <c r="J60" i="12" s="1"/>
  <c r="D158" i="17" s="1"/>
  <c r="G89" i="11"/>
  <c r="J51" i="12" s="1"/>
  <c r="O51" i="12" s="1"/>
  <c r="P51" i="12" s="1"/>
  <c r="G88" i="11"/>
  <c r="J50" i="12" s="1"/>
  <c r="O50" i="12" s="1"/>
  <c r="G105" i="11"/>
  <c r="J67" i="12" s="1"/>
  <c r="D165" i="17" s="1"/>
  <c r="G115" i="11"/>
  <c r="J77" i="12" s="1"/>
  <c r="O77" i="12" s="1"/>
  <c r="P77" i="12" s="1"/>
  <c r="G65" i="11"/>
  <c r="J27" i="12" s="1"/>
  <c r="O27" i="12" s="1"/>
  <c r="G112" i="11"/>
  <c r="J74" i="12" s="1"/>
  <c r="D172" i="17" s="1"/>
  <c r="G72" i="11"/>
  <c r="J34" i="12" s="1"/>
  <c r="O34" i="12" s="1"/>
  <c r="G86" i="11"/>
  <c r="J48" i="12" s="1"/>
  <c r="O48" i="12" s="1"/>
  <c r="G83" i="11"/>
  <c r="J45" i="12" s="1"/>
  <c r="G75" i="11"/>
  <c r="J37" i="12" s="1"/>
  <c r="O37" i="12" s="1"/>
  <c r="G90" i="11"/>
  <c r="J52" i="12" s="1"/>
  <c r="O52" i="12" s="1"/>
  <c r="G68" i="11"/>
  <c r="J30" i="12" s="1"/>
  <c r="O30" i="12" s="1"/>
  <c r="G81" i="11"/>
  <c r="J43" i="12" s="1"/>
  <c r="O43" i="12" s="1"/>
  <c r="G69" i="11"/>
  <c r="J31" i="12" s="1"/>
  <c r="O31" i="12" s="1"/>
  <c r="G84" i="11"/>
  <c r="J46" i="12" s="1"/>
  <c r="O46" i="12" s="1"/>
  <c r="P46" i="12" s="1"/>
  <c r="G97" i="11"/>
  <c r="J59" i="12" s="1"/>
  <c r="O59" i="12" s="1"/>
  <c r="P59" i="12" s="1"/>
  <c r="G113" i="11"/>
  <c r="J75" i="12" s="1"/>
  <c r="O75" i="12" s="1"/>
  <c r="P75" i="12" s="1"/>
  <c r="G111" i="11"/>
  <c r="J73" i="12" s="1"/>
  <c r="D171" i="17" s="1"/>
  <c r="N57" i="11"/>
  <c r="G85" i="11"/>
  <c r="J47" i="12" s="1"/>
  <c r="O47" i="12" s="1"/>
  <c r="G92" i="11"/>
  <c r="J54" i="12" s="1"/>
  <c r="O54" i="12" s="1"/>
  <c r="G78" i="11"/>
  <c r="J40" i="12" s="1"/>
  <c r="O40" i="12" s="1"/>
  <c r="G110" i="11"/>
  <c r="J72" i="12" s="1"/>
  <c r="O72" i="12" s="1"/>
  <c r="P72" i="12" s="1"/>
  <c r="G114" i="11"/>
  <c r="J76" i="12" s="1"/>
  <c r="D174" i="17" s="1"/>
  <c r="G80" i="11"/>
  <c r="J42" i="12" s="1"/>
  <c r="O42" i="12" s="1"/>
  <c r="G64" i="11"/>
  <c r="J26" i="12" s="1"/>
  <c r="O26" i="12" s="1"/>
  <c r="G79" i="11"/>
  <c r="J41" i="12" s="1"/>
  <c r="O41" i="12" s="1"/>
  <c r="P41" i="12" s="1"/>
  <c r="G74" i="11"/>
  <c r="J36" i="12" s="1"/>
  <c r="O36" i="12" s="1"/>
  <c r="G99" i="11"/>
  <c r="J61" i="12" s="1"/>
  <c r="D159" i="17" s="1"/>
  <c r="G101" i="11"/>
  <c r="J63" i="12" s="1"/>
  <c r="O63" i="12" s="1"/>
  <c r="P63" i="12" s="1"/>
  <c r="G104" i="11"/>
  <c r="J66" i="12" s="1"/>
  <c r="O66" i="12" s="1"/>
  <c r="P66" i="12" s="1"/>
  <c r="G100" i="11"/>
  <c r="J62" i="12" s="1"/>
  <c r="D160" i="17" s="1"/>
  <c r="G82" i="11"/>
  <c r="J44" i="12" s="1"/>
  <c r="O44" i="12" s="1"/>
  <c r="G107" i="11"/>
  <c r="J69" i="12" s="1"/>
  <c r="O69" i="12" s="1"/>
  <c r="P69" i="12" s="1"/>
  <c r="G66" i="11"/>
  <c r="J28" i="12" s="1"/>
  <c r="O28" i="12" s="1"/>
  <c r="G106" i="11"/>
  <c r="J68" i="12" s="1"/>
  <c r="O68" i="12" s="1"/>
  <c r="P68" i="12" s="1"/>
  <c r="G60" i="11"/>
  <c r="J22" i="12" s="1"/>
  <c r="O22" i="12" s="1"/>
  <c r="G62" i="11"/>
  <c r="J24" i="12" s="1"/>
  <c r="O24" i="12" s="1"/>
  <c r="G116" i="11"/>
  <c r="J78" i="12" s="1"/>
  <c r="O78" i="12" s="1"/>
  <c r="P78" i="12" s="1"/>
  <c r="N85" i="11"/>
  <c r="N79" i="11"/>
  <c r="N95" i="11"/>
  <c r="N88" i="11"/>
  <c r="N82" i="11"/>
  <c r="N115" i="11"/>
  <c r="N59" i="11"/>
  <c r="N62" i="11"/>
  <c r="N66" i="11"/>
  <c r="N71" i="11"/>
  <c r="N58" i="11"/>
  <c r="N70" i="11"/>
  <c r="N61" i="11"/>
  <c r="N94" i="11"/>
  <c r="N114" i="11"/>
  <c r="N112" i="11"/>
  <c r="N89" i="11"/>
  <c r="N102" i="11"/>
  <c r="N86" i="11"/>
  <c r="N113" i="11"/>
  <c r="N97" i="11"/>
  <c r="N91" i="11"/>
  <c r="N106" i="11"/>
  <c r="N116" i="11"/>
  <c r="N68" i="11"/>
  <c r="N76" i="11"/>
  <c r="N64" i="11"/>
  <c r="N110" i="11"/>
  <c r="N98" i="11"/>
  <c r="N108" i="11"/>
  <c r="N101" i="11"/>
  <c r="N92" i="11"/>
  <c r="N104" i="11"/>
  <c r="N65" i="11"/>
  <c r="N93" i="11"/>
  <c r="N60" i="11"/>
  <c r="N72" i="11"/>
  <c r="N96" i="11"/>
  <c r="N105" i="11"/>
  <c r="N103" i="11"/>
  <c r="N75" i="11"/>
  <c r="N67" i="11"/>
  <c r="N107" i="11"/>
  <c r="N90" i="11"/>
  <c r="N81" i="11"/>
  <c r="N109" i="11"/>
  <c r="N100" i="11"/>
  <c r="N111" i="11"/>
  <c r="N69" i="11"/>
  <c r="N74" i="11"/>
  <c r="N80" i="11"/>
  <c r="N83" i="11"/>
  <c r="N78" i="11"/>
  <c r="N87" i="11"/>
  <c r="N84" i="11"/>
  <c r="N99" i="11"/>
  <c r="N73" i="11"/>
  <c r="N63" i="11"/>
  <c r="N77" i="11"/>
  <c r="J21" i="12"/>
  <c r="O4" i="18"/>
  <c r="J19" i="12"/>
  <c r="J20" i="12"/>
  <c r="R3" i="7"/>
  <c r="L11" i="12"/>
  <c r="W20" i="12" s="1"/>
  <c r="J44" i="11"/>
  <c r="AE96" i="17"/>
  <c r="AD96" i="17"/>
  <c r="AF96" i="17"/>
  <c r="AG97" i="17" s="1"/>
  <c r="P186" i="17"/>
  <c r="AQ186" i="17" s="1"/>
  <c r="J45" i="11"/>
  <c r="R4" i="7"/>
  <c r="B189" i="17"/>
  <c r="Y188" i="17"/>
  <c r="Z188" i="17" s="1"/>
  <c r="H188" i="17"/>
  <c r="I188" i="17" s="1"/>
  <c r="X96" i="17"/>
  <c r="AB96" i="17"/>
  <c r="L96" i="17"/>
  <c r="V96" i="17" s="1"/>
  <c r="AH97" i="17" s="1"/>
  <c r="K96" i="17"/>
  <c r="O96" i="17" s="1"/>
  <c r="N96" i="17" s="1"/>
  <c r="P96" i="17" s="1"/>
  <c r="O74" i="12"/>
  <c r="AK186" i="17"/>
  <c r="AF187" i="17"/>
  <c r="AG188" i="17" s="1"/>
  <c r="AD187" i="17"/>
  <c r="AE187" i="17"/>
  <c r="R5" i="7"/>
  <c r="J46" i="11"/>
  <c r="O38" i="12"/>
  <c r="AI96" i="17"/>
  <c r="AQ95" i="17"/>
  <c r="H97" i="17"/>
  <c r="I97" i="17" s="1"/>
  <c r="Y97" i="17"/>
  <c r="Z97" i="17" s="1"/>
  <c r="B98" i="17"/>
  <c r="AK95" i="17"/>
  <c r="O73" i="12"/>
  <c r="AB187" i="17"/>
  <c r="L187" i="17"/>
  <c r="K187" i="17"/>
  <c r="O187" i="17" s="1"/>
  <c r="N187" i="17" s="1"/>
  <c r="X187" i="17"/>
  <c r="AI187" i="17"/>
  <c r="Q51" i="12"/>
  <c r="M89" i="11"/>
  <c r="L159" i="11"/>
  <c r="AE160" i="11"/>
  <c r="L230" i="11"/>
  <c r="AE231" i="11"/>
  <c r="L88" i="11"/>
  <c r="L301" i="11"/>
  <c r="AE302" i="11"/>
  <c r="M161" i="11"/>
  <c r="Y162" i="11"/>
  <c r="C589" i="11"/>
  <c r="B196" i="8"/>
  <c r="M302" i="11"/>
  <c r="Y303" i="11"/>
  <c r="M231" i="11"/>
  <c r="Y232" i="11"/>
  <c r="O71" i="12" l="1"/>
  <c r="P71" i="12" s="1"/>
  <c r="O76" i="12"/>
  <c r="P76" i="12" s="1"/>
  <c r="O60" i="12"/>
  <c r="P60" i="12" s="1"/>
  <c r="O61" i="12"/>
  <c r="P61" i="12" s="1"/>
  <c r="O67" i="12"/>
  <c r="P67" i="12" s="1"/>
  <c r="O70" i="12"/>
  <c r="P70" i="12" s="1"/>
  <c r="N117" i="11"/>
  <c r="O56" i="12"/>
  <c r="P56" i="12" s="1"/>
  <c r="D154" i="17"/>
  <c r="O45" i="12"/>
  <c r="P45" i="12" s="1"/>
  <c r="D143" i="17"/>
  <c r="D117" i="17"/>
  <c r="E117" i="17" s="1"/>
  <c r="P19" i="12"/>
  <c r="P73" i="12"/>
  <c r="P38" i="12"/>
  <c r="D146" i="17"/>
  <c r="P48" i="12"/>
  <c r="P55" i="12"/>
  <c r="D153" i="17"/>
  <c r="P50" i="12"/>
  <c r="P74" i="12"/>
  <c r="D151" i="17"/>
  <c r="D119" i="17"/>
  <c r="P21" i="12"/>
  <c r="D118" i="17"/>
  <c r="P20" i="12"/>
  <c r="O39" i="12"/>
  <c r="P39" i="12" s="1"/>
  <c r="D157" i="17"/>
  <c r="O62" i="12"/>
  <c r="P62" i="12" s="1"/>
  <c r="D144" i="17"/>
  <c r="D162" i="17"/>
  <c r="D170" i="17"/>
  <c r="D175" i="17"/>
  <c r="D164" i="17"/>
  <c r="D139" i="17"/>
  <c r="D167" i="17"/>
  <c r="D163" i="17"/>
  <c r="D148" i="17"/>
  <c r="D166" i="17"/>
  <c r="D161" i="17"/>
  <c r="D149" i="17"/>
  <c r="D156" i="17"/>
  <c r="D176" i="17"/>
  <c r="D173" i="17"/>
  <c r="AK96" i="17"/>
  <c r="R22" i="12"/>
  <c r="R23" i="12" s="1"/>
  <c r="R24" i="12" s="1"/>
  <c r="R25" i="12" s="1"/>
  <c r="R26" i="12" s="1"/>
  <c r="R27" i="12" s="1"/>
  <c r="R28" i="12" s="1"/>
  <c r="R29" i="12" s="1"/>
  <c r="R30" i="12" s="1"/>
  <c r="R31" i="12" s="1"/>
  <c r="R32" i="12" s="1"/>
  <c r="R33" i="12" s="1"/>
  <c r="R34" i="12" s="1"/>
  <c r="R35" i="12" s="1"/>
  <c r="R36" i="12" s="1"/>
  <c r="R37" i="12" s="1"/>
  <c r="R38" i="12" s="1"/>
  <c r="AQ96" i="17"/>
  <c r="D135" i="17"/>
  <c r="P37" i="12"/>
  <c r="D126" i="17"/>
  <c r="P28" i="12"/>
  <c r="O57" i="12"/>
  <c r="P57" i="12" s="1"/>
  <c r="D155" i="17"/>
  <c r="D122" i="17"/>
  <c r="P24" i="12"/>
  <c r="D150" i="17"/>
  <c r="P52" i="12"/>
  <c r="D130" i="17"/>
  <c r="P32" i="12"/>
  <c r="G117" i="11"/>
  <c r="D127" i="17"/>
  <c r="P29" i="12"/>
  <c r="D140" i="17"/>
  <c r="P42" i="12"/>
  <c r="D125" i="17"/>
  <c r="P27" i="12"/>
  <c r="D147" i="17"/>
  <c r="P49" i="12"/>
  <c r="D138" i="17"/>
  <c r="P40" i="12"/>
  <c r="D121" i="17"/>
  <c r="P23" i="12"/>
  <c r="D133" i="17"/>
  <c r="P35" i="12"/>
  <c r="D123" i="17"/>
  <c r="P25" i="12"/>
  <c r="D142" i="17"/>
  <c r="P44" i="12"/>
  <c r="D145" i="17"/>
  <c r="P47" i="12"/>
  <c r="D129" i="17"/>
  <c r="P31" i="12"/>
  <c r="D134" i="17"/>
  <c r="P36" i="12"/>
  <c r="D141" i="17"/>
  <c r="P43" i="12"/>
  <c r="D120" i="17"/>
  <c r="P22" i="12"/>
  <c r="D124" i="17"/>
  <c r="P26" i="12"/>
  <c r="D132" i="17"/>
  <c r="P34" i="12"/>
  <c r="D128" i="17"/>
  <c r="P30" i="12"/>
  <c r="D152" i="17"/>
  <c r="P54" i="12"/>
  <c r="AI97" i="17"/>
  <c r="D131" i="17"/>
  <c r="J80" i="12"/>
  <c r="P33" i="12"/>
  <c r="H98" i="17"/>
  <c r="I98" i="17" s="1"/>
  <c r="Y98" i="17"/>
  <c r="Z98" i="17" s="1"/>
  <c r="B99" i="17"/>
  <c r="P187" i="17"/>
  <c r="V187" i="17"/>
  <c r="AH188" i="17" s="1"/>
  <c r="AI188" i="17" s="1"/>
  <c r="X97" i="17"/>
  <c r="L97" i="17"/>
  <c r="V97" i="17" s="1"/>
  <c r="AH98" i="17" s="1"/>
  <c r="K97" i="17"/>
  <c r="O97" i="17" s="1"/>
  <c r="N97" i="17" s="1"/>
  <c r="P97" i="17" s="1"/>
  <c r="AB97" i="17"/>
  <c r="AD188" i="17"/>
  <c r="AF188" i="17"/>
  <c r="AG189" i="17" s="1"/>
  <c r="AE188" i="17"/>
  <c r="AE97" i="17"/>
  <c r="AF97" i="17"/>
  <c r="AG98" i="17" s="1"/>
  <c r="AD97" i="17"/>
  <c r="L188" i="17"/>
  <c r="V188" i="17" s="1"/>
  <c r="AH189" i="17" s="1"/>
  <c r="K188" i="17"/>
  <c r="O188" i="17" s="1"/>
  <c r="N188" i="17" s="1"/>
  <c r="X188" i="17"/>
  <c r="AB188" i="17"/>
  <c r="AK187" i="17"/>
  <c r="B190" i="17"/>
  <c r="Y189" i="17"/>
  <c r="Z189" i="17" s="1"/>
  <c r="H189" i="17"/>
  <c r="I189" i="17" s="1"/>
  <c r="Q52" i="12"/>
  <c r="M90" i="11"/>
  <c r="M232" i="11"/>
  <c r="Y233" i="11"/>
  <c r="M303" i="11"/>
  <c r="Y304" i="11"/>
  <c r="B197" i="8"/>
  <c r="C590" i="11"/>
  <c r="L302" i="11"/>
  <c r="AE303" i="11"/>
  <c r="L89" i="11"/>
  <c r="L160" i="11"/>
  <c r="AE161" i="11"/>
  <c r="M162" i="11"/>
  <c r="Y163" i="11"/>
  <c r="L231" i="11"/>
  <c r="AE232" i="11"/>
  <c r="R39" i="12" l="1"/>
  <c r="R40" i="12" s="1"/>
  <c r="R41" i="12" s="1"/>
  <c r="R42" i="12" s="1"/>
  <c r="R43" i="12" s="1"/>
  <c r="R44" i="12" s="1"/>
  <c r="R45" i="12" s="1"/>
  <c r="R46" i="12" s="1"/>
  <c r="R47" i="12" s="1"/>
  <c r="R48" i="12" s="1"/>
  <c r="R49" i="12" s="1"/>
  <c r="R50" i="12" s="1"/>
  <c r="R51" i="12" s="1"/>
  <c r="R52" i="12" s="1"/>
  <c r="R53" i="12" s="1"/>
  <c r="R54" i="12" s="1"/>
  <c r="R55" i="12" s="1"/>
  <c r="R56" i="12" s="1"/>
  <c r="R57" i="12" s="1"/>
  <c r="R58" i="12" s="1"/>
  <c r="R59" i="12" s="1"/>
  <c r="R60" i="12" s="1"/>
  <c r="R61" i="12" s="1"/>
  <c r="R62" i="12" s="1"/>
  <c r="R63" i="12" s="1"/>
  <c r="R64" i="12" s="1"/>
  <c r="R65" i="12" s="1"/>
  <c r="R66" i="12" s="1"/>
  <c r="R67" i="12" s="1"/>
  <c r="R68" i="12" s="1"/>
  <c r="R69" i="12" s="1"/>
  <c r="R70" i="12" s="1"/>
  <c r="R71" i="12" s="1"/>
  <c r="R72" i="12" s="1"/>
  <c r="R73" i="12" s="1"/>
  <c r="R74" i="12" s="1"/>
  <c r="R75" i="12" s="1"/>
  <c r="R76" i="12" s="1"/>
  <c r="R77" i="12" s="1"/>
  <c r="R78" i="12" s="1"/>
  <c r="F117" i="17"/>
  <c r="I117" i="17"/>
  <c r="AI98" i="17"/>
  <c r="P79" i="12"/>
  <c r="AQ97" i="17"/>
  <c r="O80" i="12"/>
  <c r="AK188" i="17"/>
  <c r="AQ187" i="17"/>
  <c r="D197" i="17"/>
  <c r="AK97" i="17"/>
  <c r="AI189" i="17"/>
  <c r="AB189" i="17"/>
  <c r="K189" i="17"/>
  <c r="O189" i="17" s="1"/>
  <c r="N189" i="17" s="1"/>
  <c r="P189" i="17" s="1"/>
  <c r="X189" i="17"/>
  <c r="L189" i="17"/>
  <c r="AE189" i="17"/>
  <c r="AF189" i="17"/>
  <c r="AG190" i="17" s="1"/>
  <c r="AD189" i="17"/>
  <c r="Y99" i="17"/>
  <c r="Z99" i="17" s="1"/>
  <c r="B100" i="17"/>
  <c r="H99" i="17"/>
  <c r="I99" i="17" s="1"/>
  <c r="H190" i="17"/>
  <c r="I190" i="17" s="1"/>
  <c r="Y190" i="17"/>
  <c r="Z190" i="17" s="1"/>
  <c r="B191" i="17"/>
  <c r="AF98" i="17"/>
  <c r="AG99" i="17" s="1"/>
  <c r="AD98" i="17"/>
  <c r="AE98" i="17"/>
  <c r="P188" i="17"/>
  <c r="AQ188" i="17" s="1"/>
  <c r="X98" i="17"/>
  <c r="L98" i="17"/>
  <c r="V98" i="17" s="1"/>
  <c r="AH99" i="17" s="1"/>
  <c r="K98" i="17"/>
  <c r="O98" i="17" s="1"/>
  <c r="N98" i="17" s="1"/>
  <c r="P98" i="17" s="1"/>
  <c r="AB98" i="17"/>
  <c r="Q53" i="12"/>
  <c r="M91" i="11"/>
  <c r="M163" i="11"/>
  <c r="Y164" i="11"/>
  <c r="L303" i="11"/>
  <c r="AE304" i="11"/>
  <c r="L161" i="11"/>
  <c r="AE162" i="11"/>
  <c r="L232" i="11"/>
  <c r="AE233" i="11"/>
  <c r="L90" i="11"/>
  <c r="M304" i="11"/>
  <c r="Y305" i="11"/>
  <c r="M233" i="11"/>
  <c r="Y234" i="11"/>
  <c r="C591" i="11"/>
  <c r="B198" i="8"/>
  <c r="X117" i="17" l="1"/>
  <c r="E118" i="17" s="1"/>
  <c r="F118" i="17" s="1"/>
  <c r="L117" i="17"/>
  <c r="V117" i="17" s="1"/>
  <c r="K117" i="17"/>
  <c r="J117" i="17"/>
  <c r="G117" i="17"/>
  <c r="Z117" i="17"/>
  <c r="AD117" i="17" s="1"/>
  <c r="AI99" i="17"/>
  <c r="AK98" i="17"/>
  <c r="L12" i="12"/>
  <c r="D26" i="17"/>
  <c r="I12" i="17" s="1"/>
  <c r="P2" i="19" s="1"/>
  <c r="D29" i="17"/>
  <c r="D27" i="17"/>
  <c r="D28" i="17"/>
  <c r="D61" i="17"/>
  <c r="D49" i="17"/>
  <c r="D71" i="17"/>
  <c r="D68" i="17"/>
  <c r="D67" i="17"/>
  <c r="D59" i="17"/>
  <c r="D85" i="17"/>
  <c r="D86" i="17"/>
  <c r="D82" i="17"/>
  <c r="D54" i="17"/>
  <c r="D75" i="17"/>
  <c r="D72" i="17"/>
  <c r="D70" i="17"/>
  <c r="D63" i="17"/>
  <c r="D76" i="17"/>
  <c r="D73" i="17"/>
  <c r="D80" i="17"/>
  <c r="D53" i="17"/>
  <c r="D47" i="17"/>
  <c r="D79" i="17"/>
  <c r="D46" i="17"/>
  <c r="D58" i="17"/>
  <c r="D64" i="17"/>
  <c r="D69" i="17"/>
  <c r="D74" i="17"/>
  <c r="D66" i="17"/>
  <c r="D56" i="17"/>
  <c r="D78" i="17"/>
  <c r="D84" i="17"/>
  <c r="D81" i="17"/>
  <c r="D77" i="17"/>
  <c r="D83" i="17"/>
  <c r="D36" i="17"/>
  <c r="D40" i="17"/>
  <c r="D37" i="17"/>
  <c r="D48" i="17"/>
  <c r="D52" i="17"/>
  <c r="D51" i="17"/>
  <c r="D38" i="17"/>
  <c r="D41" i="17"/>
  <c r="D33" i="17"/>
  <c r="D32" i="17"/>
  <c r="D35" i="17"/>
  <c r="D43" i="17"/>
  <c r="D39" i="17"/>
  <c r="D34" i="17"/>
  <c r="D65" i="17"/>
  <c r="D50" i="17"/>
  <c r="D31" i="17"/>
  <c r="D55" i="17"/>
  <c r="D30" i="17"/>
  <c r="D62" i="17"/>
  <c r="D45" i="17"/>
  <c r="D60" i="17"/>
  <c r="D57" i="17"/>
  <c r="D44" i="17"/>
  <c r="D42" i="17"/>
  <c r="AQ98" i="17"/>
  <c r="AK189" i="17"/>
  <c r="L99" i="17"/>
  <c r="V99" i="17" s="1"/>
  <c r="AH100" i="17" s="1"/>
  <c r="AB99" i="17"/>
  <c r="K99" i="17"/>
  <c r="O99" i="17" s="1"/>
  <c r="N99" i="17" s="1"/>
  <c r="P99" i="17" s="1"/>
  <c r="X99" i="17"/>
  <c r="Y191" i="17"/>
  <c r="Z191" i="17" s="1"/>
  <c r="H191" i="17"/>
  <c r="I191" i="17" s="1"/>
  <c r="B192" i="17"/>
  <c r="H100" i="17"/>
  <c r="I100" i="17" s="1"/>
  <c r="B101" i="17"/>
  <c r="Y100" i="17"/>
  <c r="Z100" i="17" s="1"/>
  <c r="AE190" i="17"/>
  <c r="AF190" i="17"/>
  <c r="AG191" i="17" s="1"/>
  <c r="AD190" i="17"/>
  <c r="AF99" i="17"/>
  <c r="AG100" i="17" s="1"/>
  <c r="AE99" i="17"/>
  <c r="AD99" i="17"/>
  <c r="V189" i="17"/>
  <c r="AH190" i="17" s="1"/>
  <c r="AI190" i="17" s="1"/>
  <c r="AK190" i="17" s="1"/>
  <c r="X190" i="17"/>
  <c r="AB190" i="17"/>
  <c r="K190" i="17"/>
  <c r="O190" i="17" s="1"/>
  <c r="N190" i="17" s="1"/>
  <c r="P190" i="17" s="1"/>
  <c r="L190" i="17"/>
  <c r="V190" i="17" s="1"/>
  <c r="AH191" i="17" s="1"/>
  <c r="Q54" i="12"/>
  <c r="M92" i="11"/>
  <c r="M234" i="11"/>
  <c r="Y235" i="11"/>
  <c r="L233" i="11"/>
  <c r="AE234" i="11"/>
  <c r="M164" i="11"/>
  <c r="Y165" i="11"/>
  <c r="L91" i="11"/>
  <c r="L304" i="11"/>
  <c r="AE305" i="11"/>
  <c r="M305" i="11"/>
  <c r="Y306" i="11"/>
  <c r="B199" i="8"/>
  <c r="C592" i="11"/>
  <c r="L162" i="11"/>
  <c r="AE163" i="11"/>
  <c r="G118" i="17" l="1"/>
  <c r="AB117" i="17"/>
  <c r="AC117" i="17" s="1"/>
  <c r="I118" i="17"/>
  <c r="X118" i="17" s="1"/>
  <c r="E119" i="17" s="1"/>
  <c r="I119" i="17" s="1"/>
  <c r="Z118" i="17"/>
  <c r="AA118" i="17" s="1"/>
  <c r="AF117" i="17"/>
  <c r="AG118" i="17" s="1"/>
  <c r="AE117" i="17"/>
  <c r="AM123" i="17" s="1"/>
  <c r="AA117" i="17"/>
  <c r="O117" i="17"/>
  <c r="R123" i="17" s="1"/>
  <c r="S123" i="17" s="1"/>
  <c r="AH118" i="17"/>
  <c r="W117" i="17"/>
  <c r="AK99" i="17"/>
  <c r="E27" i="17"/>
  <c r="D107" i="17"/>
  <c r="X20" i="12"/>
  <c r="O5" i="18"/>
  <c r="R4" i="18" s="1"/>
  <c r="R5" i="18" s="1"/>
  <c r="L13" i="12"/>
  <c r="L14" i="12" s="1"/>
  <c r="AQ99" i="17"/>
  <c r="AI191" i="17"/>
  <c r="AI100" i="17"/>
  <c r="AQ190" i="17"/>
  <c r="AE100" i="17"/>
  <c r="AD100" i="17"/>
  <c r="AF100" i="17"/>
  <c r="AG101" i="17" s="1"/>
  <c r="K191" i="17"/>
  <c r="O191" i="17" s="1"/>
  <c r="N191" i="17" s="1"/>
  <c r="P191" i="17" s="1"/>
  <c r="L191" i="17"/>
  <c r="V191" i="17" s="1"/>
  <c r="AH192" i="17" s="1"/>
  <c r="AB191" i="17"/>
  <c r="X191" i="17"/>
  <c r="AQ189" i="17"/>
  <c r="H101" i="17"/>
  <c r="I101" i="17" s="1"/>
  <c r="B102" i="17"/>
  <c r="Y101" i="17"/>
  <c r="Z101" i="17" s="1"/>
  <c r="AD191" i="17"/>
  <c r="AE191" i="17"/>
  <c r="AF191" i="17"/>
  <c r="AG192" i="17" s="1"/>
  <c r="Y192" i="17"/>
  <c r="Z192" i="17" s="1"/>
  <c r="H192" i="17"/>
  <c r="I192" i="17" s="1"/>
  <c r="B193" i="17"/>
  <c r="K100" i="17"/>
  <c r="O100" i="17" s="1"/>
  <c r="N100" i="17" s="1"/>
  <c r="P100" i="17" s="1"/>
  <c r="AB100" i="17"/>
  <c r="X100" i="17"/>
  <c r="L100" i="17"/>
  <c r="V100" i="17" s="1"/>
  <c r="AH101" i="17" s="1"/>
  <c r="Q55" i="12"/>
  <c r="M93" i="11"/>
  <c r="L305" i="11"/>
  <c r="AE306" i="11"/>
  <c r="L92" i="11"/>
  <c r="L234" i="11"/>
  <c r="AE235" i="11"/>
  <c r="C593" i="11"/>
  <c r="B200" i="8"/>
  <c r="L163" i="11"/>
  <c r="AE164" i="11"/>
  <c r="M165" i="11"/>
  <c r="Y166" i="11"/>
  <c r="M306" i="11"/>
  <c r="Y307" i="11"/>
  <c r="M235" i="11"/>
  <c r="Y236" i="11"/>
  <c r="AD118" i="17" l="1"/>
  <c r="AF118" i="17"/>
  <c r="AG119" i="17" s="1"/>
  <c r="L119" i="17"/>
  <c r="K119" i="17"/>
  <c r="O119" i="17" s="1"/>
  <c r="N119" i="17" s="1"/>
  <c r="AR117" i="17"/>
  <c r="AE118" i="17"/>
  <c r="AM124" i="17" s="1"/>
  <c r="J119" i="17"/>
  <c r="J118" i="17"/>
  <c r="K118" i="17"/>
  <c r="L118" i="17"/>
  <c r="V118" i="17" s="1"/>
  <c r="AB118" i="17"/>
  <c r="AC118" i="17" s="1"/>
  <c r="F119" i="17"/>
  <c r="G119" i="17" s="1"/>
  <c r="N117" i="17"/>
  <c r="P117" i="17" s="1"/>
  <c r="AQ117" i="17" s="1"/>
  <c r="AI118" i="17"/>
  <c r="AJ118" i="17" s="1"/>
  <c r="AK100" i="17"/>
  <c r="AK191" i="17"/>
  <c r="F27" i="17"/>
  <c r="I27" i="17"/>
  <c r="AQ100" i="17"/>
  <c r="AI192" i="17"/>
  <c r="AQ191" i="17"/>
  <c r="Y193" i="17"/>
  <c r="Z193" i="17" s="1"/>
  <c r="B194" i="17"/>
  <c r="H193" i="17"/>
  <c r="I193" i="17" s="1"/>
  <c r="K101" i="17"/>
  <c r="O101" i="17" s="1"/>
  <c r="N101" i="17" s="1"/>
  <c r="P101" i="17" s="1"/>
  <c r="L101" i="17"/>
  <c r="V101" i="17" s="1"/>
  <c r="AH102" i="17" s="1"/>
  <c r="X101" i="17"/>
  <c r="AB101" i="17"/>
  <c r="H102" i="17"/>
  <c r="I102" i="17" s="1"/>
  <c r="B103" i="17"/>
  <c r="Y102" i="17"/>
  <c r="Z102" i="17" s="1"/>
  <c r="L192" i="17"/>
  <c r="AB192" i="17"/>
  <c r="X192" i="17"/>
  <c r="K192" i="17"/>
  <c r="O192" i="17" s="1"/>
  <c r="N192" i="17" s="1"/>
  <c r="P192" i="17" s="1"/>
  <c r="AD192" i="17"/>
  <c r="AK192" i="17" s="1"/>
  <c r="AF192" i="17"/>
  <c r="AG193" i="17" s="1"/>
  <c r="AE192" i="17"/>
  <c r="AE101" i="17"/>
  <c r="AF101" i="17"/>
  <c r="AG102" i="17" s="1"/>
  <c r="AD101" i="17"/>
  <c r="AI101" i="17"/>
  <c r="Q56" i="12"/>
  <c r="M94" i="11"/>
  <c r="M307" i="11"/>
  <c r="Y308" i="11"/>
  <c r="L164" i="11"/>
  <c r="AE165" i="11"/>
  <c r="L93" i="11"/>
  <c r="M236" i="11"/>
  <c r="Y237" i="11"/>
  <c r="M166" i="11"/>
  <c r="Y167" i="11"/>
  <c r="B201" i="8"/>
  <c r="C594" i="11"/>
  <c r="L235" i="11"/>
  <c r="AE236" i="11"/>
  <c r="L306" i="11"/>
  <c r="AE307" i="11"/>
  <c r="T123" i="17" l="1"/>
  <c r="AO123" i="17" s="1"/>
  <c r="AP123" i="17" s="1"/>
  <c r="Q117" i="17"/>
  <c r="AS117" i="17" s="1"/>
  <c r="AK118" i="17"/>
  <c r="AL118" i="17" s="1"/>
  <c r="Z119" i="17"/>
  <c r="AE119" i="17" s="1"/>
  <c r="AM125" i="17" s="1"/>
  <c r="W118" i="17"/>
  <c r="AH119" i="17"/>
  <c r="AI119" i="17" s="1"/>
  <c r="AJ119" i="17" s="1"/>
  <c r="V119" i="17"/>
  <c r="X119" i="17"/>
  <c r="E120" i="17" s="1"/>
  <c r="I120" i="17" s="1"/>
  <c r="K120" i="17" s="1"/>
  <c r="O118" i="17"/>
  <c r="R124" i="17" s="1"/>
  <c r="S124" i="17" s="1"/>
  <c r="X27" i="17"/>
  <c r="E28" i="17" s="1"/>
  <c r="I28" i="17" s="1"/>
  <c r="J28" i="17" s="1"/>
  <c r="L27" i="17"/>
  <c r="V27" i="17" s="1"/>
  <c r="K27" i="17"/>
  <c r="O27" i="17" s="1"/>
  <c r="J27" i="17"/>
  <c r="G27" i="17"/>
  <c r="Z27" i="17"/>
  <c r="AD27" i="17" s="1"/>
  <c r="AK101" i="17"/>
  <c r="AI102" i="17"/>
  <c r="AE102" i="17"/>
  <c r="AF102" i="17"/>
  <c r="AG103" i="17" s="1"/>
  <c r="AD102" i="17"/>
  <c r="Y194" i="17"/>
  <c r="Z194" i="17" s="1"/>
  <c r="B195" i="17"/>
  <c r="H194" i="17"/>
  <c r="I194" i="17" s="1"/>
  <c r="V192" i="17"/>
  <c r="AH193" i="17" s="1"/>
  <c r="AI193" i="17" s="1"/>
  <c r="Y103" i="17"/>
  <c r="Z103" i="17" s="1"/>
  <c r="H103" i="17"/>
  <c r="I103" i="17" s="1"/>
  <c r="B104" i="17"/>
  <c r="AD193" i="17"/>
  <c r="AE193" i="17"/>
  <c r="AF193" i="17"/>
  <c r="AG194" i="17" s="1"/>
  <c r="L193" i="17"/>
  <c r="V193" i="17" s="1"/>
  <c r="AH194" i="17" s="1"/>
  <c r="K193" i="17"/>
  <c r="O193" i="17" s="1"/>
  <c r="N193" i="17" s="1"/>
  <c r="P193" i="17" s="1"/>
  <c r="AB193" i="17"/>
  <c r="X193" i="17"/>
  <c r="K102" i="17"/>
  <c r="O102" i="17" s="1"/>
  <c r="N102" i="17" s="1"/>
  <c r="P102" i="17" s="1"/>
  <c r="AB102" i="17"/>
  <c r="X102" i="17"/>
  <c r="L102" i="17"/>
  <c r="V102" i="17" s="1"/>
  <c r="AH103" i="17" s="1"/>
  <c r="AQ101" i="17"/>
  <c r="Q57" i="12"/>
  <c r="M95" i="11"/>
  <c r="L307" i="11"/>
  <c r="AE308" i="11"/>
  <c r="M167" i="11"/>
  <c r="Y168" i="11"/>
  <c r="M308" i="11"/>
  <c r="Y309" i="11"/>
  <c r="L165" i="11"/>
  <c r="AE166" i="11"/>
  <c r="C595" i="11"/>
  <c r="B202" i="8"/>
  <c r="L236" i="11"/>
  <c r="AE237" i="11"/>
  <c r="M237" i="11"/>
  <c r="Y238" i="11"/>
  <c r="L94" i="11"/>
  <c r="AT117" i="17" l="1"/>
  <c r="AU117" i="17" s="1"/>
  <c r="AB119" i="17"/>
  <c r="AC119" i="17" s="1"/>
  <c r="U123" i="17"/>
  <c r="AF119" i="17"/>
  <c r="AG120" i="17" s="1"/>
  <c r="AN123" i="17"/>
  <c r="AD119" i="17"/>
  <c r="AK119" i="17" s="1"/>
  <c r="AL119" i="17" s="1"/>
  <c r="N118" i="17"/>
  <c r="P118" i="17" s="1"/>
  <c r="AQ118" i="17" s="1"/>
  <c r="R125" i="17"/>
  <c r="S125" i="17" s="1"/>
  <c r="J120" i="17"/>
  <c r="AA119" i="17"/>
  <c r="L120" i="17"/>
  <c r="V120" i="17" s="1"/>
  <c r="AH121" i="17" s="1"/>
  <c r="F120" i="17"/>
  <c r="Z120" i="17" s="1"/>
  <c r="AA120" i="17" s="1"/>
  <c r="AH120" i="17"/>
  <c r="W119" i="17"/>
  <c r="O120" i="17"/>
  <c r="N120" i="17" s="1"/>
  <c r="F28" i="17"/>
  <c r="X28" i="17" s="1"/>
  <c r="E29" i="17" s="1"/>
  <c r="I29" i="17" s="1"/>
  <c r="J29" i="17" s="1"/>
  <c r="AH28" i="17"/>
  <c r="W27" i="17"/>
  <c r="AA27" i="17"/>
  <c r="AE27" i="17"/>
  <c r="AM33" i="17" s="1"/>
  <c r="AF27" i="17"/>
  <c r="AG28" i="17" s="1"/>
  <c r="AB27" i="17"/>
  <c r="L28" i="17"/>
  <c r="V28" i="17" s="1"/>
  <c r="W28" i="17" s="1"/>
  <c r="K28" i="17"/>
  <c r="O28" i="17" s="1"/>
  <c r="N27" i="17"/>
  <c r="R33" i="17"/>
  <c r="AK193" i="17"/>
  <c r="AK102" i="17"/>
  <c r="AI194" i="17"/>
  <c r="AQ102" i="17"/>
  <c r="AE103" i="17"/>
  <c r="AF103" i="17"/>
  <c r="AG104" i="17" s="1"/>
  <c r="AD103" i="17"/>
  <c r="AB194" i="17"/>
  <c r="K194" i="17"/>
  <c r="O194" i="17" s="1"/>
  <c r="N194" i="17" s="1"/>
  <c r="P194" i="17" s="1"/>
  <c r="X194" i="17"/>
  <c r="L194" i="17"/>
  <c r="V194" i="17" s="1"/>
  <c r="AH195" i="17" s="1"/>
  <c r="AI103" i="17"/>
  <c r="L103" i="17"/>
  <c r="V103" i="17" s="1"/>
  <c r="AH104" i="17" s="1"/>
  <c r="X103" i="17"/>
  <c r="AB103" i="17"/>
  <c r="K103" i="17"/>
  <c r="O103" i="17" s="1"/>
  <c r="N103" i="17" s="1"/>
  <c r="P103" i="17" s="1"/>
  <c r="AQ193" i="17"/>
  <c r="Y195" i="17"/>
  <c r="Z195" i="17" s="1"/>
  <c r="H195" i="17"/>
  <c r="I195" i="17" s="1"/>
  <c r="B196" i="17"/>
  <c r="H104" i="17"/>
  <c r="I104" i="17" s="1"/>
  <c r="B105" i="17"/>
  <c r="Y104" i="17"/>
  <c r="Z104" i="17" s="1"/>
  <c r="AD194" i="17"/>
  <c r="AF194" i="17"/>
  <c r="AG195" i="17" s="1"/>
  <c r="AE194" i="17"/>
  <c r="AQ192" i="17"/>
  <c r="Q58" i="12"/>
  <c r="M96" i="11"/>
  <c r="L308" i="11"/>
  <c r="AE309" i="11"/>
  <c r="B203" i="8"/>
  <c r="C596" i="11"/>
  <c r="M309" i="11"/>
  <c r="Y310" i="11"/>
  <c r="L237" i="11"/>
  <c r="AE238" i="11"/>
  <c r="M238" i="11"/>
  <c r="Y239" i="11"/>
  <c r="L95" i="11"/>
  <c r="L166" i="11"/>
  <c r="AE167" i="11"/>
  <c r="M168" i="11"/>
  <c r="Y169" i="11"/>
  <c r="AI120" i="17" l="1"/>
  <c r="AJ120" i="17" s="1"/>
  <c r="T124" i="17"/>
  <c r="U124" i="17" s="1"/>
  <c r="Q118" i="17"/>
  <c r="P120" i="17"/>
  <c r="AQ120" i="17" s="1"/>
  <c r="AB120" i="17"/>
  <c r="AC120" i="17" s="1"/>
  <c r="AE120" i="17"/>
  <c r="AM126" i="17" s="1"/>
  <c r="P119" i="17"/>
  <c r="Q119" i="17" s="1"/>
  <c r="W120" i="17"/>
  <c r="AF120" i="17"/>
  <c r="AG121" i="17" s="1"/>
  <c r="AI121" i="17" s="1"/>
  <c r="AJ121" i="17" s="1"/>
  <c r="X120" i="17"/>
  <c r="E121" i="17" s="1"/>
  <c r="F121" i="17" s="1"/>
  <c r="Z121" i="17" s="1"/>
  <c r="AF121" i="17" s="1"/>
  <c r="AG122" i="17" s="1"/>
  <c r="AD120" i="17"/>
  <c r="G120" i="17"/>
  <c r="G28" i="17"/>
  <c r="R126" i="17"/>
  <c r="Z28" i="17"/>
  <c r="AB28" i="17" s="1"/>
  <c r="AC28" i="17" s="1"/>
  <c r="F29" i="17"/>
  <c r="Z29" i="17" s="1"/>
  <c r="AB29" i="17" s="1"/>
  <c r="AI28" i="17"/>
  <c r="AJ28" i="17" s="1"/>
  <c r="AR27" i="17"/>
  <c r="R34" i="17"/>
  <c r="S34" i="17" s="1"/>
  <c r="AC27" i="17"/>
  <c r="P27" i="17"/>
  <c r="S33" i="17"/>
  <c r="K29" i="17"/>
  <c r="L29" i="17"/>
  <c r="V29" i="17" s="1"/>
  <c r="W29" i="17" s="1"/>
  <c r="N28" i="17"/>
  <c r="P28" i="17" s="1"/>
  <c r="AH29" i="17"/>
  <c r="AK194" i="17"/>
  <c r="AB195" i="17"/>
  <c r="L195" i="17"/>
  <c r="V195" i="17" s="1"/>
  <c r="AH196" i="17" s="1"/>
  <c r="X195" i="17"/>
  <c r="K195" i="17"/>
  <c r="O195" i="17" s="1"/>
  <c r="N195" i="17" s="1"/>
  <c r="P195" i="17" s="1"/>
  <c r="Y105" i="17"/>
  <c r="Z105" i="17" s="1"/>
  <c r="H105" i="17"/>
  <c r="I105" i="17" s="1"/>
  <c r="B106" i="17"/>
  <c r="AF195" i="17"/>
  <c r="AG196" i="17" s="1"/>
  <c r="AE195" i="17"/>
  <c r="AD195" i="17"/>
  <c r="AI104" i="17"/>
  <c r="AI195" i="17"/>
  <c r="L104" i="17"/>
  <c r="V104" i="17" s="1"/>
  <c r="AH105" i="17" s="1"/>
  <c r="X104" i="17"/>
  <c r="K104" i="17"/>
  <c r="O104" i="17" s="1"/>
  <c r="N104" i="17" s="1"/>
  <c r="P104" i="17" s="1"/>
  <c r="AB104" i="17"/>
  <c r="AQ194" i="17"/>
  <c r="AE104" i="17"/>
  <c r="AF104" i="17"/>
  <c r="AG105" i="17" s="1"/>
  <c r="AD104" i="17"/>
  <c r="Y196" i="17"/>
  <c r="Z196" i="17" s="1"/>
  <c r="H196" i="17"/>
  <c r="I196" i="17" s="1"/>
  <c r="AQ103" i="17"/>
  <c r="AK103" i="17"/>
  <c r="Q59" i="12"/>
  <c r="M97" i="11"/>
  <c r="M239" i="11"/>
  <c r="Y240" i="11"/>
  <c r="M310" i="11"/>
  <c r="Y311" i="11"/>
  <c r="L309" i="11"/>
  <c r="AE310" i="11"/>
  <c r="L238" i="11"/>
  <c r="AE239" i="11"/>
  <c r="L96" i="11"/>
  <c r="C597" i="11"/>
  <c r="B204" i="8"/>
  <c r="M169" i="11"/>
  <c r="Y170" i="11"/>
  <c r="L167" i="11"/>
  <c r="AE168" i="11"/>
  <c r="AD121" i="17" l="1"/>
  <c r="AK121" i="17" s="1"/>
  <c r="I121" i="17"/>
  <c r="J121" i="17" s="1"/>
  <c r="AN124" i="17"/>
  <c r="AK120" i="17"/>
  <c r="AL120" i="17" s="1"/>
  <c r="AO124" i="17"/>
  <c r="AP124" i="17" s="1"/>
  <c r="T126" i="17"/>
  <c r="AO126" i="17" s="1"/>
  <c r="AA121" i="17"/>
  <c r="T125" i="17"/>
  <c r="AO125" i="17" s="1"/>
  <c r="Q120" i="17"/>
  <c r="AQ119" i="17"/>
  <c r="AE121" i="17"/>
  <c r="AM127" i="17" s="1"/>
  <c r="G121" i="17"/>
  <c r="AE28" i="17"/>
  <c r="AM34" i="17" s="1"/>
  <c r="AQ28" i="17"/>
  <c r="AC29" i="17"/>
  <c r="S126" i="17"/>
  <c r="AA28" i="17"/>
  <c r="AR28" i="17" s="1"/>
  <c r="AF28" i="17"/>
  <c r="AG29" i="17" s="1"/>
  <c r="AI29" i="17" s="1"/>
  <c r="AD28" i="17"/>
  <c r="AK28" i="17" s="1"/>
  <c r="AL28" i="17" s="1"/>
  <c r="X29" i="17"/>
  <c r="E30" i="17" s="1"/>
  <c r="F30" i="17" s="1"/>
  <c r="G29" i="17"/>
  <c r="AQ27" i="17"/>
  <c r="T33" i="17"/>
  <c r="Q28" i="17"/>
  <c r="T34" i="17"/>
  <c r="Q27" i="17"/>
  <c r="AH30" i="17"/>
  <c r="AA29" i="17"/>
  <c r="AR29" i="17" s="1"/>
  <c r="AF29" i="17"/>
  <c r="AG30" i="17" s="1"/>
  <c r="AE29" i="17"/>
  <c r="O29" i="17"/>
  <c r="N29" i="17" s="1"/>
  <c r="AD29" i="17"/>
  <c r="AK195" i="17"/>
  <c r="AI196" i="17"/>
  <c r="AQ195" i="17"/>
  <c r="AI105" i="17"/>
  <c r="AQ104" i="17"/>
  <c r="AK104" i="17"/>
  <c r="Y106" i="17"/>
  <c r="Z106" i="17" s="1"/>
  <c r="H106" i="17"/>
  <c r="I106" i="17" s="1"/>
  <c r="K196" i="17"/>
  <c r="O196" i="17" s="1"/>
  <c r="N196" i="17" s="1"/>
  <c r="P196" i="17" s="1"/>
  <c r="AB196" i="17"/>
  <c r="X196" i="17"/>
  <c r="L196" i="17"/>
  <c r="V196" i="17" s="1"/>
  <c r="K105" i="17"/>
  <c r="O105" i="17" s="1"/>
  <c r="N105" i="17" s="1"/>
  <c r="P105" i="17" s="1"/>
  <c r="AB105" i="17"/>
  <c r="X105" i="17"/>
  <c r="L105" i="17"/>
  <c r="V105" i="17" s="1"/>
  <c r="AH106" i="17" s="1"/>
  <c r="AD196" i="17"/>
  <c r="AF196" i="17"/>
  <c r="AE196" i="17"/>
  <c r="AE105" i="17"/>
  <c r="AF105" i="17"/>
  <c r="AG106" i="17" s="1"/>
  <c r="AD105" i="17"/>
  <c r="Q60" i="12"/>
  <c r="M98" i="11"/>
  <c r="L168" i="11"/>
  <c r="AE169" i="11"/>
  <c r="M170" i="11"/>
  <c r="Y171" i="11"/>
  <c r="B205" i="8"/>
  <c r="C598" i="11"/>
  <c r="L239" i="11"/>
  <c r="AE240" i="11"/>
  <c r="L310" i="11"/>
  <c r="AE311" i="11"/>
  <c r="M311" i="11"/>
  <c r="Y312" i="11"/>
  <c r="L97" i="11"/>
  <c r="M240" i="11"/>
  <c r="Y241" i="11"/>
  <c r="AB121" i="17" l="1"/>
  <c r="AC121" i="17" s="1"/>
  <c r="L121" i="17"/>
  <c r="V121" i="17" s="1"/>
  <c r="AH122" i="17" s="1"/>
  <c r="AI122" i="17" s="1"/>
  <c r="AJ122" i="17" s="1"/>
  <c r="X121" i="17"/>
  <c r="E122" i="17" s="1"/>
  <c r="F122" i="17" s="1"/>
  <c r="G122" i="17" s="1"/>
  <c r="K121" i="17"/>
  <c r="O121" i="17" s="1"/>
  <c r="R127" i="17" s="1"/>
  <c r="S127" i="17" s="1"/>
  <c r="AL121" i="17"/>
  <c r="U125" i="17"/>
  <c r="AN125" i="17"/>
  <c r="AP125" i="17"/>
  <c r="U126" i="17"/>
  <c r="AO34" i="17"/>
  <c r="AP126" i="17"/>
  <c r="AN126" i="17"/>
  <c r="AM35" i="17"/>
  <c r="I30" i="17"/>
  <c r="X30" i="17" s="1"/>
  <c r="E31" i="17" s="1"/>
  <c r="I31" i="17" s="1"/>
  <c r="AK105" i="17"/>
  <c r="AI30" i="17"/>
  <c r="AJ30" i="17" s="1"/>
  <c r="Z30" i="17"/>
  <c r="G30" i="17"/>
  <c r="P29" i="17"/>
  <c r="AT28" i="17"/>
  <c r="AS28" i="17"/>
  <c r="R35" i="17"/>
  <c r="AO33" i="17"/>
  <c r="AN33" i="17"/>
  <c r="U34" i="17"/>
  <c r="U33" i="17"/>
  <c r="AN34" i="17"/>
  <c r="AJ29" i="17"/>
  <c r="AK29" i="17"/>
  <c r="AL29" i="17" s="1"/>
  <c r="AT27" i="17"/>
  <c r="AS27" i="17"/>
  <c r="AI106" i="17"/>
  <c r="AK196" i="17"/>
  <c r="AQ105" i="17"/>
  <c r="AQ196" i="17"/>
  <c r="AE106" i="17"/>
  <c r="AF106" i="17"/>
  <c r="AD106" i="17"/>
  <c r="K106" i="17"/>
  <c r="O106" i="17" s="1"/>
  <c r="N106" i="17" s="1"/>
  <c r="P106" i="17" s="1"/>
  <c r="X106" i="17"/>
  <c r="L106" i="17"/>
  <c r="V106" i="17" s="1"/>
  <c r="AB106" i="17"/>
  <c r="Q61" i="12"/>
  <c r="M99" i="11"/>
  <c r="L98" i="11"/>
  <c r="L240" i="11"/>
  <c r="AE241" i="11"/>
  <c r="L311" i="11"/>
  <c r="AE312" i="11"/>
  <c r="M171" i="11"/>
  <c r="Y172" i="11"/>
  <c r="C599" i="11"/>
  <c r="B206" i="8"/>
  <c r="M241" i="11"/>
  <c r="Y242" i="11"/>
  <c r="M312" i="11"/>
  <c r="Y313" i="11"/>
  <c r="L169" i="11"/>
  <c r="AE170" i="11"/>
  <c r="N121" i="17" l="1"/>
  <c r="P121" i="17" s="1"/>
  <c r="T127" i="17" s="1"/>
  <c r="AN127" i="17" s="1"/>
  <c r="W121" i="17"/>
  <c r="I122" i="17"/>
  <c r="L122" i="17" s="1"/>
  <c r="V122" i="17" s="1"/>
  <c r="Z122" i="17"/>
  <c r="AA122" i="17" s="1"/>
  <c r="K30" i="17"/>
  <c r="O30" i="17" s="1"/>
  <c r="N30" i="17" s="1"/>
  <c r="P30" i="17" s="1"/>
  <c r="J30" i="17"/>
  <c r="L30" i="17"/>
  <c r="V30" i="17" s="1"/>
  <c r="AH31" i="17" s="1"/>
  <c r="AB30" i="17"/>
  <c r="AC30" i="17" s="1"/>
  <c r="F31" i="17"/>
  <c r="Z31" i="17" s="1"/>
  <c r="AD31" i="17" s="1"/>
  <c r="AU27" i="17"/>
  <c r="AD30" i="17"/>
  <c r="AK30" i="17" s="1"/>
  <c r="AL30" i="17" s="1"/>
  <c r="AU28" i="17"/>
  <c r="S35" i="17"/>
  <c r="J31" i="17"/>
  <c r="K31" i="17"/>
  <c r="O31" i="17" s="1"/>
  <c r="L31" i="17"/>
  <c r="AF30" i="17"/>
  <c r="AG31" i="17" s="1"/>
  <c r="AE30" i="17"/>
  <c r="AM36" i="17" s="1"/>
  <c r="AA30" i="17"/>
  <c r="AP33" i="17"/>
  <c r="AQ29" i="17"/>
  <c r="T35" i="17"/>
  <c r="Q29" i="17"/>
  <c r="AP34" i="17"/>
  <c r="AK106" i="17"/>
  <c r="AQ106" i="17"/>
  <c r="Q62" i="12"/>
  <c r="M100" i="11"/>
  <c r="M242" i="11"/>
  <c r="Y243" i="11"/>
  <c r="L170" i="11"/>
  <c r="AE171" i="11"/>
  <c r="L99" i="11"/>
  <c r="M313" i="11"/>
  <c r="Y314" i="11"/>
  <c r="L312" i="11"/>
  <c r="AE313" i="11"/>
  <c r="M172" i="11"/>
  <c r="Y173" i="11"/>
  <c r="C600" i="11"/>
  <c r="B207" i="8"/>
  <c r="C601" i="11" s="1"/>
  <c r="L241" i="11"/>
  <c r="AE242" i="11"/>
  <c r="K122" i="17" l="1"/>
  <c r="O122" i="17" s="1"/>
  <c r="N122" i="17" s="1"/>
  <c r="P122" i="17" s="1"/>
  <c r="T128" i="17" s="1"/>
  <c r="U128" i="17" s="1"/>
  <c r="Q121" i="17"/>
  <c r="AQ121" i="17"/>
  <c r="X122" i="17"/>
  <c r="E123" i="17" s="1"/>
  <c r="F123" i="17" s="1"/>
  <c r="J122" i="17"/>
  <c r="AO127" i="17"/>
  <c r="AP127" i="17" s="1"/>
  <c r="U127" i="17"/>
  <c r="AH123" i="17"/>
  <c r="W122" i="17"/>
  <c r="AB122" i="17"/>
  <c r="AC122" i="17" s="1"/>
  <c r="R36" i="17"/>
  <c r="S36" i="17" s="1"/>
  <c r="AE122" i="17"/>
  <c r="AM128" i="17" s="1"/>
  <c r="AD122" i="17"/>
  <c r="AK122" i="17" s="1"/>
  <c r="AL122" i="17" s="1"/>
  <c r="AF122" i="17"/>
  <c r="AG123" i="17" s="1"/>
  <c r="W30" i="17"/>
  <c r="AR30" i="17" s="1"/>
  <c r="V31" i="17"/>
  <c r="W31" i="17" s="1"/>
  <c r="X31" i="17"/>
  <c r="E32" i="17" s="1"/>
  <c r="F32" i="17" s="1"/>
  <c r="G31" i="17"/>
  <c r="AA31" i="17"/>
  <c r="AI31" i="17"/>
  <c r="N31" i="17"/>
  <c r="AN35" i="17"/>
  <c r="AO35" i="17"/>
  <c r="U35" i="17"/>
  <c r="R37" i="17"/>
  <c r="T36" i="17"/>
  <c r="AQ30" i="17"/>
  <c r="AT29" i="17"/>
  <c r="AS29" i="17"/>
  <c r="Q30" i="17"/>
  <c r="AB31" i="17"/>
  <c r="AC31" i="17" s="1"/>
  <c r="AF31" i="17"/>
  <c r="AG32" i="17" s="1"/>
  <c r="AE31" i="17"/>
  <c r="AM37" i="17" s="1"/>
  <c r="Q63" i="12"/>
  <c r="M101" i="11"/>
  <c r="L313" i="11"/>
  <c r="AE314" i="11"/>
  <c r="M314" i="11"/>
  <c r="Y315" i="11"/>
  <c r="L242" i="11"/>
  <c r="AE243" i="11"/>
  <c r="L100" i="11"/>
  <c r="L171" i="11"/>
  <c r="AE172" i="11"/>
  <c r="M173" i="11"/>
  <c r="Y174" i="11"/>
  <c r="M243" i="11"/>
  <c r="Y244" i="11"/>
  <c r="AQ122" i="17" l="1"/>
  <c r="R128" i="17"/>
  <c r="S128" i="17" s="1"/>
  <c r="Q122" i="17"/>
  <c r="AN128" i="17"/>
  <c r="I123" i="17"/>
  <c r="J123" i="17" s="1"/>
  <c r="Z123" i="17"/>
  <c r="AF123" i="17" s="1"/>
  <c r="AG124" i="17" s="1"/>
  <c r="G123" i="17"/>
  <c r="AI123" i="17"/>
  <c r="AJ123" i="17" s="1"/>
  <c r="AH32" i="17"/>
  <c r="AI32" i="17" s="1"/>
  <c r="AJ32" i="17" s="1"/>
  <c r="AR31" i="17"/>
  <c r="I32" i="17"/>
  <c r="J32" i="17" s="1"/>
  <c r="AU29" i="17"/>
  <c r="P31" i="17"/>
  <c r="Z32" i="17"/>
  <c r="AD32" i="17" s="1"/>
  <c r="G32" i="17"/>
  <c r="AO36" i="17"/>
  <c r="AK31" i="17"/>
  <c r="AL31" i="17" s="1"/>
  <c r="AJ31" i="17"/>
  <c r="U36" i="17"/>
  <c r="AP35" i="17"/>
  <c r="S37" i="17"/>
  <c r="AT30" i="17"/>
  <c r="AS30" i="17"/>
  <c r="AN36" i="17"/>
  <c r="Q64" i="12"/>
  <c r="M102" i="11"/>
  <c r="L314" i="11"/>
  <c r="AE315" i="11"/>
  <c r="L243" i="11"/>
  <c r="AE244" i="11"/>
  <c r="L101" i="11"/>
  <c r="M244" i="11"/>
  <c r="Y245" i="11"/>
  <c r="M174" i="11"/>
  <c r="Y175" i="11"/>
  <c r="L172" i="11"/>
  <c r="AE173" i="11"/>
  <c r="M315" i="11"/>
  <c r="Y316" i="11"/>
  <c r="AO128" i="17" l="1"/>
  <c r="AP128" i="17" s="1"/>
  <c r="X123" i="17"/>
  <c r="E124" i="17" s="1"/>
  <c r="I124" i="17" s="1"/>
  <c r="J124" i="17" s="1"/>
  <c r="L123" i="17"/>
  <c r="V123" i="17" s="1"/>
  <c r="AH124" i="17" s="1"/>
  <c r="AI124" i="17" s="1"/>
  <c r="AJ124" i="17" s="1"/>
  <c r="K123" i="17"/>
  <c r="O123" i="17" s="1"/>
  <c r="N123" i="17" s="1"/>
  <c r="P123" i="17" s="1"/>
  <c r="AD123" i="17"/>
  <c r="AK123" i="17" s="1"/>
  <c r="AL123" i="17" s="1"/>
  <c r="AA123" i="17"/>
  <c r="AB123" i="17"/>
  <c r="AC123" i="17" s="1"/>
  <c r="AE123" i="17"/>
  <c r="AM129" i="17" s="1"/>
  <c r="K32" i="17"/>
  <c r="O32" i="17" s="1"/>
  <c r="N32" i="17" s="1"/>
  <c r="L32" i="17"/>
  <c r="V32" i="17" s="1"/>
  <c r="W32" i="17" s="1"/>
  <c r="X32" i="17"/>
  <c r="E33" i="17" s="1"/>
  <c r="F33" i="17" s="1"/>
  <c r="AK32" i="17"/>
  <c r="AL32" i="17" s="1"/>
  <c r="AB32" i="17"/>
  <c r="AC32" i="17" s="1"/>
  <c r="AU30" i="17"/>
  <c r="AQ31" i="17"/>
  <c r="T37" i="17"/>
  <c r="Q31" i="17"/>
  <c r="AP36" i="17"/>
  <c r="AE32" i="17"/>
  <c r="AM38" i="17" s="1"/>
  <c r="AF32" i="17"/>
  <c r="AG33" i="17" s="1"/>
  <c r="AA32" i="17"/>
  <c r="Q65" i="12"/>
  <c r="M103" i="11"/>
  <c r="M175" i="11"/>
  <c r="Y176" i="11"/>
  <c r="L315" i="11"/>
  <c r="AE316" i="11"/>
  <c r="M316" i="11"/>
  <c r="Y317" i="11"/>
  <c r="L173" i="11"/>
  <c r="AE174" i="11"/>
  <c r="L102" i="11"/>
  <c r="L244" i="11"/>
  <c r="AE245" i="11"/>
  <c r="M245" i="11"/>
  <c r="Y246" i="11"/>
  <c r="L124" i="17" l="1"/>
  <c r="F124" i="17"/>
  <c r="G124" i="17" s="1"/>
  <c r="AQ123" i="17"/>
  <c r="W123" i="17"/>
  <c r="K124" i="17"/>
  <c r="O124" i="17" s="1"/>
  <c r="R130" i="17" s="1"/>
  <c r="Q123" i="17"/>
  <c r="R129" i="17"/>
  <c r="S129" i="17" s="1"/>
  <c r="T129" i="17"/>
  <c r="AN129" i="17" s="1"/>
  <c r="V124" i="17"/>
  <c r="AH125" i="17" s="1"/>
  <c r="AH33" i="17"/>
  <c r="AI33" i="17" s="1"/>
  <c r="AJ33" i="17" s="1"/>
  <c r="I33" i="17"/>
  <c r="X33" i="17" s="1"/>
  <c r="E34" i="17" s="1"/>
  <c r="AR32" i="17"/>
  <c r="P32" i="17"/>
  <c r="Z33" i="17"/>
  <c r="AD33" i="17" s="1"/>
  <c r="G33" i="17"/>
  <c r="AO37" i="17"/>
  <c r="AN37" i="17"/>
  <c r="U37" i="17"/>
  <c r="R38" i="17"/>
  <c r="AT31" i="17"/>
  <c r="AS31" i="17"/>
  <c r="Q66" i="12"/>
  <c r="M104" i="11"/>
  <c r="L103" i="11"/>
  <c r="M246" i="11"/>
  <c r="Y247" i="11"/>
  <c r="L174" i="11"/>
  <c r="AE175" i="11"/>
  <c r="L245" i="11"/>
  <c r="AE246" i="11"/>
  <c r="M317" i="11"/>
  <c r="Y318" i="11"/>
  <c r="M176" i="11"/>
  <c r="Y177" i="11"/>
  <c r="L316" i="11"/>
  <c r="AE317" i="11"/>
  <c r="Z124" i="17" l="1"/>
  <c r="AF124" i="17" s="1"/>
  <c r="AG125" i="17" s="1"/>
  <c r="AI125" i="17" s="1"/>
  <c r="AJ125" i="17" s="1"/>
  <c r="N124" i="17"/>
  <c r="P124" i="17" s="1"/>
  <c r="X124" i="17"/>
  <c r="E125" i="17" s="1"/>
  <c r="I125" i="17" s="1"/>
  <c r="L125" i="17" s="1"/>
  <c r="V125" i="17" s="1"/>
  <c r="AH126" i="17" s="1"/>
  <c r="S130" i="17"/>
  <c r="W124" i="17"/>
  <c r="U129" i="17"/>
  <c r="AO129" i="17"/>
  <c r="AP129" i="17" s="1"/>
  <c r="J33" i="17"/>
  <c r="L33" i="17"/>
  <c r="V33" i="17" s="1"/>
  <c r="K33" i="17"/>
  <c r="O33" i="17" s="1"/>
  <c r="N33" i="17" s="1"/>
  <c r="P33" i="17" s="1"/>
  <c r="T39" i="17" s="1"/>
  <c r="AK33" i="17"/>
  <c r="AL33" i="17" s="1"/>
  <c r="AU31" i="17"/>
  <c r="AB33" i="17"/>
  <c r="AC33" i="17" s="1"/>
  <c r="AF33" i="17"/>
  <c r="AG34" i="17" s="1"/>
  <c r="AE33" i="17"/>
  <c r="AM39" i="17" s="1"/>
  <c r="AA33" i="17"/>
  <c r="S38" i="17"/>
  <c r="AP37" i="17"/>
  <c r="I34" i="17"/>
  <c r="F34" i="17"/>
  <c r="AQ32" i="17"/>
  <c r="Q32" i="17"/>
  <c r="T38" i="17"/>
  <c r="Q67" i="12"/>
  <c r="M105" i="11"/>
  <c r="L246" i="11"/>
  <c r="AE247" i="11"/>
  <c r="M247" i="11"/>
  <c r="Y248" i="11"/>
  <c r="L175" i="11"/>
  <c r="AE176" i="11"/>
  <c r="M318" i="11"/>
  <c r="Y319" i="11"/>
  <c r="L317" i="11"/>
  <c r="AE318" i="11"/>
  <c r="M177" i="11"/>
  <c r="Y178" i="11"/>
  <c r="L104" i="11"/>
  <c r="AD124" i="17" l="1"/>
  <c r="AK124" i="17" s="1"/>
  <c r="AL124" i="17" s="1"/>
  <c r="AE124" i="17"/>
  <c r="AM130" i="17" s="1"/>
  <c r="AQ124" i="17"/>
  <c r="AB124" i="17"/>
  <c r="AC124" i="17" s="1"/>
  <c r="AA124" i="17"/>
  <c r="T130" i="17"/>
  <c r="U130" i="17" s="1"/>
  <c r="Q124" i="17"/>
  <c r="F125" i="17"/>
  <c r="G125" i="17" s="1"/>
  <c r="W125" i="17"/>
  <c r="K125" i="17"/>
  <c r="O125" i="17" s="1"/>
  <c r="R131" i="17" s="1"/>
  <c r="S131" i="17" s="1"/>
  <c r="J125" i="17"/>
  <c r="R39" i="17"/>
  <c r="S39" i="17" s="1"/>
  <c r="Q33" i="17"/>
  <c r="AS33" i="17" s="1"/>
  <c r="U39" i="17"/>
  <c r="K34" i="17"/>
  <c r="O34" i="17" s="1"/>
  <c r="L34" i="17"/>
  <c r="V34" i="17" s="1"/>
  <c r="AH35" i="17" s="1"/>
  <c r="J34" i="17"/>
  <c r="AH34" i="17"/>
  <c r="AI34" i="17" s="1"/>
  <c r="W33" i="17"/>
  <c r="AR33" i="17" s="1"/>
  <c r="U38" i="17"/>
  <c r="AN38" i="17"/>
  <c r="AO38" i="17"/>
  <c r="AN39" i="17"/>
  <c r="AT32" i="17"/>
  <c r="AS32" i="17"/>
  <c r="X34" i="17"/>
  <c r="E35" i="17" s="1"/>
  <c r="Z34" i="17"/>
  <c r="G34" i="17"/>
  <c r="AQ33" i="17"/>
  <c r="Q68" i="12"/>
  <c r="M106" i="11"/>
  <c r="L247" i="11"/>
  <c r="AE248" i="11"/>
  <c r="M178" i="11"/>
  <c r="Y179" i="11"/>
  <c r="L318" i="11"/>
  <c r="AE319" i="11"/>
  <c r="M319" i="11"/>
  <c r="Y320" i="11"/>
  <c r="L105" i="11"/>
  <c r="L176" i="11"/>
  <c r="AE177" i="11"/>
  <c r="M248" i="11"/>
  <c r="Y249" i="11"/>
  <c r="X125" i="17" l="1"/>
  <c r="E126" i="17" s="1"/>
  <c r="I126" i="17" s="1"/>
  <c r="J126" i="17" s="1"/>
  <c r="AN130" i="17"/>
  <c r="AO130" i="17"/>
  <c r="AP130" i="17" s="1"/>
  <c r="Z125" i="17"/>
  <c r="AE125" i="17" s="1"/>
  <c r="AM131" i="17" s="1"/>
  <c r="N125" i="17"/>
  <c r="P125" i="17" s="1"/>
  <c r="Q125" i="17" s="1"/>
  <c r="AO39" i="17"/>
  <c r="AP39" i="17" s="1"/>
  <c r="AT33" i="17"/>
  <c r="AU33" i="17" s="1"/>
  <c r="AU32" i="17"/>
  <c r="AJ34" i="17"/>
  <c r="AF34" i="17"/>
  <c r="AG35" i="17" s="1"/>
  <c r="AI35" i="17" s="1"/>
  <c r="AE34" i="17"/>
  <c r="AA34" i="17"/>
  <c r="I35" i="17"/>
  <c r="F35" i="17"/>
  <c r="N34" i="17"/>
  <c r="P34" i="17" s="1"/>
  <c r="R40" i="17"/>
  <c r="W34" i="17"/>
  <c r="AD34" i="17"/>
  <c r="AK34" i="17" s="1"/>
  <c r="AL34" i="17" s="1"/>
  <c r="AP38" i="17"/>
  <c r="AB34" i="17"/>
  <c r="Q69" i="12"/>
  <c r="M107" i="11"/>
  <c r="L319" i="11"/>
  <c r="AE320" i="11"/>
  <c r="M320" i="11"/>
  <c r="Y321" i="11"/>
  <c r="L248" i="11"/>
  <c r="AE249" i="11"/>
  <c r="L177" i="11"/>
  <c r="AE178" i="11"/>
  <c r="L106" i="11"/>
  <c r="M179" i="11"/>
  <c r="Y180" i="11"/>
  <c r="M249" i="11"/>
  <c r="Y250" i="11"/>
  <c r="L126" i="17" l="1"/>
  <c r="V126" i="17" s="1"/>
  <c r="W126" i="17" s="1"/>
  <c r="AA125" i="17"/>
  <c r="F126" i="17"/>
  <c r="Z126" i="17" s="1"/>
  <c r="AB126" i="17" s="1"/>
  <c r="K126" i="17"/>
  <c r="O126" i="17" s="1"/>
  <c r="N126" i="17" s="1"/>
  <c r="P126" i="17" s="1"/>
  <c r="AF125" i="17"/>
  <c r="AG126" i="17" s="1"/>
  <c r="AI126" i="17" s="1"/>
  <c r="AJ126" i="17" s="1"/>
  <c r="AD125" i="17"/>
  <c r="AK125" i="17" s="1"/>
  <c r="AL125" i="17" s="1"/>
  <c r="AB125" i="17"/>
  <c r="AC125" i="17" s="1"/>
  <c r="AQ125" i="17"/>
  <c r="T131" i="17"/>
  <c r="U131" i="17" s="1"/>
  <c r="AR34" i="17"/>
  <c r="AJ35" i="17"/>
  <c r="L35" i="17"/>
  <c r="V35" i="17" s="1"/>
  <c r="K35" i="17"/>
  <c r="J35" i="17"/>
  <c r="AC34" i="17"/>
  <c r="S40" i="17"/>
  <c r="X35" i="17"/>
  <c r="E36" i="17" s="1"/>
  <c r="AQ34" i="17"/>
  <c r="Q34" i="17"/>
  <c r="T40" i="17"/>
  <c r="G35" i="17"/>
  <c r="Z35" i="17"/>
  <c r="AB35" i="17" s="1"/>
  <c r="AC35" i="17" s="1"/>
  <c r="AM40" i="17"/>
  <c r="Q70" i="12"/>
  <c r="M108" i="11"/>
  <c r="L178" i="11"/>
  <c r="AE179" i="11"/>
  <c r="L320" i="11"/>
  <c r="AE321" i="11"/>
  <c r="M321" i="11"/>
  <c r="Y322" i="11"/>
  <c r="M250" i="11"/>
  <c r="Y251" i="11"/>
  <c r="L107" i="11"/>
  <c r="M180" i="11"/>
  <c r="Y181" i="11"/>
  <c r="L249" i="11"/>
  <c r="AE250" i="11"/>
  <c r="AA126" i="17" l="1"/>
  <c r="R132" i="17"/>
  <c r="S132" i="17" s="1"/>
  <c r="X126" i="17"/>
  <c r="E127" i="17" s="1"/>
  <c r="I127" i="17" s="1"/>
  <c r="AD126" i="17"/>
  <c r="AK126" i="17" s="1"/>
  <c r="AL126" i="17" s="1"/>
  <c r="AE126" i="17"/>
  <c r="AM132" i="17" s="1"/>
  <c r="AH127" i="17"/>
  <c r="G126" i="17"/>
  <c r="AF126" i="17"/>
  <c r="AG127" i="17" s="1"/>
  <c r="AO131" i="17"/>
  <c r="AP131" i="17" s="1"/>
  <c r="AC126" i="17"/>
  <c r="AN131" i="17"/>
  <c r="AQ126" i="17"/>
  <c r="Q126" i="17"/>
  <c r="T132" i="17"/>
  <c r="AO40" i="17"/>
  <c r="AP40" i="17" s="1"/>
  <c r="F36" i="17"/>
  <c r="I36" i="17"/>
  <c r="AH36" i="17"/>
  <c r="W35" i="17"/>
  <c r="AD35" i="17"/>
  <c r="AK35" i="17" s="1"/>
  <c r="AL35" i="17" s="1"/>
  <c r="AF35" i="17"/>
  <c r="AG36" i="17" s="1"/>
  <c r="AE35" i="17"/>
  <c r="AA35" i="17"/>
  <c r="AN40" i="17"/>
  <c r="U40" i="17"/>
  <c r="AT34" i="17"/>
  <c r="AS34" i="17"/>
  <c r="O35" i="17"/>
  <c r="N35" i="17" s="1"/>
  <c r="P35" i="17" s="1"/>
  <c r="Q71" i="12"/>
  <c r="M109" i="11"/>
  <c r="M181" i="11"/>
  <c r="Y182" i="11"/>
  <c r="L250" i="11"/>
  <c r="AE251" i="11"/>
  <c r="M322" i="11"/>
  <c r="Y323" i="11"/>
  <c r="M251" i="11"/>
  <c r="Y252" i="11"/>
  <c r="L108" i="11"/>
  <c r="L321" i="11"/>
  <c r="AE322" i="11"/>
  <c r="L179" i="11"/>
  <c r="AE180" i="11"/>
  <c r="F127" i="17" l="1"/>
  <c r="X127" i="17" s="1"/>
  <c r="E128" i="17" s="1"/>
  <c r="F128" i="17" s="1"/>
  <c r="Z128" i="17" s="1"/>
  <c r="AD128" i="17" s="1"/>
  <c r="AI127" i="17"/>
  <c r="AJ127" i="17" s="1"/>
  <c r="K127" i="17"/>
  <c r="O127" i="17" s="1"/>
  <c r="R133" i="17" s="1"/>
  <c r="S133" i="17" s="1"/>
  <c r="L127" i="17"/>
  <c r="V127" i="17" s="1"/>
  <c r="J127" i="17"/>
  <c r="AO132" i="17"/>
  <c r="AP132" i="17" s="1"/>
  <c r="U132" i="17"/>
  <c r="AN132" i="17"/>
  <c r="X36" i="17"/>
  <c r="E37" i="17" s="1"/>
  <c r="F37" i="17" s="1"/>
  <c r="AU34" i="17"/>
  <c r="AI36" i="17"/>
  <c r="AJ36" i="17" s="1"/>
  <c r="AQ35" i="17"/>
  <c r="T41" i="17"/>
  <c r="Q35" i="17"/>
  <c r="G36" i="17"/>
  <c r="Z36" i="17"/>
  <c r="AB36" i="17" s="1"/>
  <c r="AM41" i="17"/>
  <c r="R41" i="17"/>
  <c r="AR35" i="17"/>
  <c r="J36" i="17"/>
  <c r="K36" i="17"/>
  <c r="O36" i="17" s="1"/>
  <c r="N36" i="17" s="1"/>
  <c r="P36" i="17" s="1"/>
  <c r="L36" i="17"/>
  <c r="V36" i="17" s="1"/>
  <c r="Q72" i="12"/>
  <c r="M110" i="11"/>
  <c r="M182" i="11"/>
  <c r="Y183" i="11"/>
  <c r="L180" i="11"/>
  <c r="AE181" i="11"/>
  <c r="M323" i="11"/>
  <c r="Y324" i="11"/>
  <c r="L251" i="11"/>
  <c r="AE252" i="11"/>
  <c r="L322" i="11"/>
  <c r="AE323" i="11"/>
  <c r="L109" i="11"/>
  <c r="M252" i="11"/>
  <c r="Y253" i="11"/>
  <c r="G127" i="17" l="1"/>
  <c r="Z127" i="17"/>
  <c r="AE127" i="17" s="1"/>
  <c r="AM133" i="17" s="1"/>
  <c r="G128" i="17"/>
  <c r="I128" i="17"/>
  <c r="J128" i="17" s="1"/>
  <c r="I37" i="17"/>
  <c r="K37" i="17" s="1"/>
  <c r="W127" i="17"/>
  <c r="AH128" i="17"/>
  <c r="N127" i="17"/>
  <c r="P127" i="17" s="1"/>
  <c r="AF128" i="17"/>
  <c r="AG129" i="17" s="1"/>
  <c r="AE128" i="17"/>
  <c r="AQ36" i="17"/>
  <c r="AO41" i="17"/>
  <c r="AP41" i="17" s="1"/>
  <c r="Q36" i="17"/>
  <c r="AC36" i="17"/>
  <c r="Z37" i="17"/>
  <c r="G37" i="17"/>
  <c r="AH37" i="17"/>
  <c r="W36" i="17"/>
  <c r="S41" i="17"/>
  <c r="AT35" i="17"/>
  <c r="AS35" i="17"/>
  <c r="R42" i="17"/>
  <c r="S42" i="17" s="1"/>
  <c r="U41" i="17"/>
  <c r="AN41" i="17"/>
  <c r="AD36" i="17"/>
  <c r="AK36" i="17" s="1"/>
  <c r="AL36" i="17" s="1"/>
  <c r="AE36" i="17"/>
  <c r="AF36" i="17"/>
  <c r="AG37" i="17" s="1"/>
  <c r="AA36" i="17"/>
  <c r="T42" i="17"/>
  <c r="Q73" i="12"/>
  <c r="M111" i="11"/>
  <c r="L323" i="11"/>
  <c r="AE324" i="11"/>
  <c r="M183" i="11"/>
  <c r="Y184" i="11"/>
  <c r="M324" i="11"/>
  <c r="Y325" i="11"/>
  <c r="L110" i="11"/>
  <c r="L252" i="11"/>
  <c r="AE253" i="11"/>
  <c r="M253" i="11"/>
  <c r="Y254" i="11"/>
  <c r="L181" i="11"/>
  <c r="AE182" i="11"/>
  <c r="AA127" i="17" l="1"/>
  <c r="AF127" i="17"/>
  <c r="AG128" i="17" s="1"/>
  <c r="AI128" i="17" s="1"/>
  <c r="AJ128" i="17" s="1"/>
  <c r="AD127" i="17"/>
  <c r="AK127" i="17" s="1"/>
  <c r="AL127" i="17" s="1"/>
  <c r="AB127" i="17"/>
  <c r="AC127" i="17" s="1"/>
  <c r="AA128" i="17"/>
  <c r="J37" i="17"/>
  <c r="L37" i="17"/>
  <c r="V37" i="17" s="1"/>
  <c r="W37" i="17" s="1"/>
  <c r="K128" i="17"/>
  <c r="O128" i="17" s="1"/>
  <c r="N128" i="17" s="1"/>
  <c r="P128" i="17" s="1"/>
  <c r="T134" i="17" s="1"/>
  <c r="L128" i="17"/>
  <c r="V128" i="17" s="1"/>
  <c r="W128" i="17" s="1"/>
  <c r="X37" i="17"/>
  <c r="E38" i="17" s="1"/>
  <c r="F38" i="17" s="1"/>
  <c r="AM134" i="17"/>
  <c r="AB128" i="17"/>
  <c r="AC128" i="17" s="1"/>
  <c r="X128" i="17"/>
  <c r="E129" i="17" s="1"/>
  <c r="AQ127" i="17"/>
  <c r="T133" i="17"/>
  <c r="Q127" i="17"/>
  <c r="AD37" i="17"/>
  <c r="AE37" i="17"/>
  <c r="AM43" i="17" s="1"/>
  <c r="AF37" i="17"/>
  <c r="AG38" i="17" s="1"/>
  <c r="AU35" i="17"/>
  <c r="AR36" i="17"/>
  <c r="AA37" i="17"/>
  <c r="U42" i="17"/>
  <c r="AB37" i="17"/>
  <c r="AI37" i="17"/>
  <c r="AM42" i="17"/>
  <c r="AO42" i="17" s="1"/>
  <c r="AS36" i="17"/>
  <c r="AT36" i="17"/>
  <c r="O37" i="17"/>
  <c r="N37" i="17" s="1"/>
  <c r="P37" i="17" s="1"/>
  <c r="Q74" i="12"/>
  <c r="M112" i="11"/>
  <c r="M254" i="11"/>
  <c r="Y255" i="11"/>
  <c r="L253" i="11"/>
  <c r="AE254" i="11"/>
  <c r="L111" i="11"/>
  <c r="M325" i="11"/>
  <c r="Y326" i="11"/>
  <c r="L324" i="11"/>
  <c r="AE325" i="11"/>
  <c r="M184" i="11"/>
  <c r="Y185" i="11"/>
  <c r="L182" i="11"/>
  <c r="AE183" i="11"/>
  <c r="AH38" i="17" l="1"/>
  <c r="AI38" i="17" s="1"/>
  <c r="AJ38" i="17" s="1"/>
  <c r="AK128" i="17"/>
  <c r="AL128" i="17" s="1"/>
  <c r="I38" i="17"/>
  <c r="X38" i="17" s="1"/>
  <c r="E39" i="17" s="1"/>
  <c r="R134" i="17"/>
  <c r="S134" i="17" s="1"/>
  <c r="AQ128" i="17"/>
  <c r="AH129" i="17"/>
  <c r="AI129" i="17" s="1"/>
  <c r="AJ129" i="17" s="1"/>
  <c r="Q128" i="17"/>
  <c r="I129" i="17"/>
  <c r="F129" i="17"/>
  <c r="AN133" i="17"/>
  <c r="AN134" i="17"/>
  <c r="U134" i="17"/>
  <c r="U133" i="17"/>
  <c r="AO133" i="17"/>
  <c r="AQ37" i="17"/>
  <c r="T43" i="17"/>
  <c r="Q37" i="17"/>
  <c r="AP42" i="17"/>
  <c r="AK37" i="17"/>
  <c r="AL37" i="17" s="1"/>
  <c r="AJ37" i="17"/>
  <c r="AN42" i="17"/>
  <c r="AR37" i="17"/>
  <c r="R43" i="17"/>
  <c r="AU36" i="17"/>
  <c r="AC37" i="17"/>
  <c r="Z38" i="17"/>
  <c r="G38" i="17"/>
  <c r="Q75" i="12"/>
  <c r="M113" i="11"/>
  <c r="M185" i="11"/>
  <c r="Y186" i="11"/>
  <c r="L112" i="11"/>
  <c r="M255" i="11"/>
  <c r="Y256" i="11"/>
  <c r="L325" i="11"/>
  <c r="AE326" i="11"/>
  <c r="L183" i="11"/>
  <c r="AE184" i="11"/>
  <c r="M326" i="11"/>
  <c r="Y327" i="11"/>
  <c r="L254" i="11"/>
  <c r="AE255" i="11"/>
  <c r="J38" i="17" l="1"/>
  <c r="L38" i="17"/>
  <c r="V38" i="17" s="1"/>
  <c r="AH39" i="17" s="1"/>
  <c r="K38" i="17"/>
  <c r="O38" i="17" s="1"/>
  <c r="N38" i="17" s="1"/>
  <c r="P38" i="17" s="1"/>
  <c r="AO134" i="17"/>
  <c r="Z129" i="17"/>
  <c r="AD129" i="17" s="1"/>
  <c r="AK129" i="17" s="1"/>
  <c r="G129" i="17"/>
  <c r="X129" i="17"/>
  <c r="E130" i="17" s="1"/>
  <c r="K129" i="17"/>
  <c r="O129" i="17" s="1"/>
  <c r="L129" i="17"/>
  <c r="V129" i="17" s="1"/>
  <c r="J129" i="17"/>
  <c r="AP133" i="17"/>
  <c r="AP134" i="17"/>
  <c r="AD38" i="17"/>
  <c r="AK38" i="17" s="1"/>
  <c r="AL38" i="17" s="1"/>
  <c r="AF38" i="17"/>
  <c r="AG39" i="17" s="1"/>
  <c r="AE38" i="17"/>
  <c r="AA38" i="17"/>
  <c r="I39" i="17"/>
  <c r="F39" i="17"/>
  <c r="AT37" i="17"/>
  <c r="AS37" i="17"/>
  <c r="S43" i="17"/>
  <c r="AB38" i="17"/>
  <c r="AO43" i="17"/>
  <c r="AN43" i="17"/>
  <c r="U43" i="17"/>
  <c r="Q76" i="12"/>
  <c r="M114" i="11"/>
  <c r="L184" i="11"/>
  <c r="AE185" i="11"/>
  <c r="M186" i="11"/>
  <c r="Y187" i="11"/>
  <c r="M327" i="11"/>
  <c r="Y328" i="11"/>
  <c r="M256" i="11"/>
  <c r="Y257" i="11"/>
  <c r="L255" i="11"/>
  <c r="AE256" i="11"/>
  <c r="L113" i="11"/>
  <c r="L326" i="11"/>
  <c r="AE327" i="11"/>
  <c r="W38" i="17" l="1"/>
  <c r="AR38" i="17" s="1"/>
  <c r="AB129" i="17"/>
  <c r="AC129" i="17" s="1"/>
  <c r="AL129" i="17"/>
  <c r="I130" i="17"/>
  <c r="F130" i="17"/>
  <c r="AH130" i="17"/>
  <c r="W129" i="17"/>
  <c r="N129" i="17"/>
  <c r="P129" i="17" s="1"/>
  <c r="R135" i="17"/>
  <c r="S135" i="17" s="1"/>
  <c r="AE129" i="17"/>
  <c r="AM135" i="17" s="1"/>
  <c r="AF129" i="17"/>
  <c r="AG130" i="17" s="1"/>
  <c r="AA129" i="17"/>
  <c r="X39" i="17"/>
  <c r="E40" i="17" s="1"/>
  <c r="I40" i="17" s="1"/>
  <c r="J40" i="17" s="1"/>
  <c r="AU37" i="17"/>
  <c r="AP43" i="17"/>
  <c r="Z39" i="17"/>
  <c r="AB39" i="17" s="1"/>
  <c r="G39" i="17"/>
  <c r="AM44" i="17"/>
  <c r="AC38" i="17"/>
  <c r="T44" i="17"/>
  <c r="AQ38" i="17"/>
  <c r="Q38" i="17"/>
  <c r="K39" i="17"/>
  <c r="O39" i="17" s="1"/>
  <c r="N39" i="17" s="1"/>
  <c r="P39" i="17" s="1"/>
  <c r="T45" i="17" s="1"/>
  <c r="L39" i="17"/>
  <c r="V39" i="17" s="1"/>
  <c r="J39" i="17"/>
  <c r="AI39" i="17"/>
  <c r="R44" i="17"/>
  <c r="Q78" i="12"/>
  <c r="Q77" i="12"/>
  <c r="M116" i="11"/>
  <c r="M115" i="11"/>
  <c r="L256" i="11"/>
  <c r="AE257" i="11"/>
  <c r="M328" i="11"/>
  <c r="Y329" i="11"/>
  <c r="L327" i="11"/>
  <c r="AE328" i="11"/>
  <c r="L114" i="11"/>
  <c r="M257" i="11"/>
  <c r="Y258" i="11"/>
  <c r="L185" i="11"/>
  <c r="AE186" i="11"/>
  <c r="M187" i="11"/>
  <c r="Y188" i="11"/>
  <c r="M188" i="11" s="1"/>
  <c r="AI130" i="17" l="1"/>
  <c r="AJ130" i="17" s="1"/>
  <c r="J130" i="17"/>
  <c r="K130" i="17"/>
  <c r="L130" i="17"/>
  <c r="V130" i="17" s="1"/>
  <c r="Z130" i="17"/>
  <c r="AB130" i="17" s="1"/>
  <c r="AC130" i="17" s="1"/>
  <c r="G130" i="17"/>
  <c r="X130" i="17"/>
  <c r="E131" i="17" s="1"/>
  <c r="AQ129" i="17"/>
  <c r="T135" i="17"/>
  <c r="AO135" i="17" s="1"/>
  <c r="AP135" i="17" s="1"/>
  <c r="Q129" i="17"/>
  <c r="F40" i="17"/>
  <c r="G40" i="17" s="1"/>
  <c r="R45" i="17"/>
  <c r="S45" i="17" s="1"/>
  <c r="S44" i="17"/>
  <c r="AJ39" i="17"/>
  <c r="AS38" i="17"/>
  <c r="AT38" i="17"/>
  <c r="AC39" i="17"/>
  <c r="AD39" i="17"/>
  <c r="AK39" i="17" s="1"/>
  <c r="AL39" i="17" s="1"/>
  <c r="AF39" i="17"/>
  <c r="AG40" i="17" s="1"/>
  <c r="AE39" i="17"/>
  <c r="AA39" i="17"/>
  <c r="AO44" i="17"/>
  <c r="AH40" i="17"/>
  <c r="W39" i="17"/>
  <c r="Q39" i="17"/>
  <c r="AS39" i="17" s="1"/>
  <c r="AQ39" i="17"/>
  <c r="U44" i="17"/>
  <c r="U45" i="17"/>
  <c r="AN44" i="17"/>
  <c r="L40" i="17"/>
  <c r="V40" i="17" s="1"/>
  <c r="K40" i="17"/>
  <c r="L328" i="11"/>
  <c r="AE329" i="11"/>
  <c r="L257" i="11"/>
  <c r="AE258" i="11"/>
  <c r="M258" i="11"/>
  <c r="Y259" i="11"/>
  <c r="M259" i="11" s="1"/>
  <c r="L115" i="11"/>
  <c r="L116" i="11"/>
  <c r="L186" i="11"/>
  <c r="AE187" i="11"/>
  <c r="M329" i="11"/>
  <c r="Y330" i="11"/>
  <c r="M330" i="11" s="1"/>
  <c r="AH131" i="17" l="1"/>
  <c r="W130" i="17"/>
  <c r="AD130" i="17"/>
  <c r="AK130" i="17" s="1"/>
  <c r="AL130" i="17" s="1"/>
  <c r="AA130" i="17"/>
  <c r="AE130" i="17"/>
  <c r="AM136" i="17" s="1"/>
  <c r="AF130" i="17"/>
  <c r="AG131" i="17" s="1"/>
  <c r="O130" i="17"/>
  <c r="R136" i="17" s="1"/>
  <c r="S136" i="17" s="1"/>
  <c r="U135" i="17"/>
  <c r="AN135" i="17"/>
  <c r="F131" i="17"/>
  <c r="I131" i="17"/>
  <c r="Z40" i="17"/>
  <c r="AF40" i="17" s="1"/>
  <c r="AG41" i="17" s="1"/>
  <c r="X40" i="17"/>
  <c r="E41" i="17" s="1"/>
  <c r="F41" i="17" s="1"/>
  <c r="AU38" i="17"/>
  <c r="AR39" i="17"/>
  <c r="AH41" i="17"/>
  <c r="W40" i="17"/>
  <c r="AM45" i="17"/>
  <c r="O40" i="17"/>
  <c r="N40" i="17" s="1"/>
  <c r="P40" i="17" s="1"/>
  <c r="AT39" i="17"/>
  <c r="AU39" i="17" s="1"/>
  <c r="AP44" i="17"/>
  <c r="AI40" i="17"/>
  <c r="L187" i="11"/>
  <c r="AE188" i="11"/>
  <c r="L188" i="11" s="1"/>
  <c r="L258" i="11"/>
  <c r="AE259" i="11"/>
  <c r="L259" i="11" s="1"/>
  <c r="L329" i="11"/>
  <c r="AE330" i="11"/>
  <c r="L330" i="11" s="1"/>
  <c r="AI131" i="17" l="1"/>
  <c r="AJ131" i="17" s="1"/>
  <c r="G131" i="17"/>
  <c r="Z131" i="17"/>
  <c r="AB131" i="17" s="1"/>
  <c r="AC131" i="17" s="1"/>
  <c r="X131" i="17"/>
  <c r="E132" i="17" s="1"/>
  <c r="L131" i="17"/>
  <c r="V131" i="17" s="1"/>
  <c r="K131" i="17"/>
  <c r="J131" i="17"/>
  <c r="N130" i="17"/>
  <c r="P130" i="17" s="1"/>
  <c r="AD40" i="17"/>
  <c r="AK40" i="17" s="1"/>
  <c r="AL40" i="17" s="1"/>
  <c r="AE40" i="17"/>
  <c r="AM46" i="17" s="1"/>
  <c r="I41" i="17"/>
  <c r="K41" i="17" s="1"/>
  <c r="AB40" i="17"/>
  <c r="AC40" i="17" s="1"/>
  <c r="AA40" i="17"/>
  <c r="AR40" i="17" s="1"/>
  <c r="T46" i="17"/>
  <c r="AQ40" i="17"/>
  <c r="Q40" i="17"/>
  <c r="AO45" i="17"/>
  <c r="AN45" i="17"/>
  <c r="AJ40" i="17"/>
  <c r="R46" i="17"/>
  <c r="S46" i="17" s="1"/>
  <c r="AI41" i="17"/>
  <c r="Z41" i="17"/>
  <c r="G41" i="17"/>
  <c r="AH132" i="17" l="1"/>
  <c r="W131" i="17"/>
  <c r="F132" i="17"/>
  <c r="I132" i="17"/>
  <c r="AD131" i="17"/>
  <c r="AK131" i="17" s="1"/>
  <c r="AL131" i="17" s="1"/>
  <c r="AA131" i="17"/>
  <c r="AE131" i="17"/>
  <c r="AM137" i="17" s="1"/>
  <c r="AF131" i="17"/>
  <c r="AG132" i="17" s="1"/>
  <c r="AQ130" i="17"/>
  <c r="T136" i="17"/>
  <c r="Q130" i="17"/>
  <c r="O131" i="17"/>
  <c r="R137" i="17" s="1"/>
  <c r="S137" i="17" s="1"/>
  <c r="AB41" i="17"/>
  <c r="AC41" i="17" s="1"/>
  <c r="L41" i="17"/>
  <c r="V41" i="17" s="1"/>
  <c r="W41" i="17" s="1"/>
  <c r="X41" i="17"/>
  <c r="E42" i="17" s="1"/>
  <c r="I42" i="17" s="1"/>
  <c r="K42" i="17" s="1"/>
  <c r="J41" i="17"/>
  <c r="O41" i="17"/>
  <c r="N41" i="17" s="1"/>
  <c r="P41" i="17" s="1"/>
  <c r="AD41" i="17"/>
  <c r="AK41" i="17" s="1"/>
  <c r="AL41" i="17" s="1"/>
  <c r="AF41" i="17"/>
  <c r="AG42" i="17" s="1"/>
  <c r="AE41" i="17"/>
  <c r="AA41" i="17"/>
  <c r="AP45" i="17"/>
  <c r="U46" i="17"/>
  <c r="AN46" i="17"/>
  <c r="AJ41" i="17"/>
  <c r="AO46" i="17"/>
  <c r="AP46" i="17" s="1"/>
  <c r="AS40" i="17"/>
  <c r="AT40" i="17"/>
  <c r="N131" i="17" l="1"/>
  <c r="P131" i="17" s="1"/>
  <c r="AQ131" i="17" s="1"/>
  <c r="AI132" i="17"/>
  <c r="AJ132" i="17" s="1"/>
  <c r="Z132" i="17"/>
  <c r="AD132" i="17" s="1"/>
  <c r="G132" i="17"/>
  <c r="X132" i="17"/>
  <c r="E133" i="17" s="1"/>
  <c r="AN136" i="17"/>
  <c r="U136" i="17"/>
  <c r="AO136" i="17"/>
  <c r="AP136" i="17" s="1"/>
  <c r="J132" i="17"/>
  <c r="L132" i="17"/>
  <c r="V132" i="17" s="1"/>
  <c r="K132" i="17"/>
  <c r="L42" i="17"/>
  <c r="V42" i="17" s="1"/>
  <c r="AH43" i="17" s="1"/>
  <c r="AH42" i="17"/>
  <c r="AI42" i="17" s="1"/>
  <c r="AJ42" i="17" s="1"/>
  <c r="J42" i="17"/>
  <c r="F42" i="17"/>
  <c r="G42" i="17" s="1"/>
  <c r="AU40" i="17"/>
  <c r="O42" i="17"/>
  <c r="R48" i="17" s="1"/>
  <c r="AQ41" i="17"/>
  <c r="T47" i="17"/>
  <c r="Q41" i="17"/>
  <c r="AM47" i="17"/>
  <c r="R47" i="17"/>
  <c r="AR41" i="17"/>
  <c r="T137" i="17" l="1"/>
  <c r="AO137" i="17" s="1"/>
  <c r="AP137" i="17" s="1"/>
  <c r="Q131" i="17"/>
  <c r="AB132" i="17"/>
  <c r="AC132" i="17" s="1"/>
  <c r="AK132" i="17"/>
  <c r="AL132" i="17" s="1"/>
  <c r="I133" i="17"/>
  <c r="F133" i="17"/>
  <c r="O132" i="17"/>
  <c r="R138" i="17" s="1"/>
  <c r="S138" i="17" s="1"/>
  <c r="AF132" i="17"/>
  <c r="AG133" i="17" s="1"/>
  <c r="AE132" i="17"/>
  <c r="AM138" i="17" s="1"/>
  <c r="AA132" i="17"/>
  <c r="AH133" i="17"/>
  <c r="W132" i="17"/>
  <c r="W42" i="17"/>
  <c r="X42" i="17"/>
  <c r="E43" i="17" s="1"/>
  <c r="F43" i="17" s="1"/>
  <c r="Z43" i="17" s="1"/>
  <c r="Z42" i="17"/>
  <c r="AD42" i="17" s="1"/>
  <c r="AK42" i="17" s="1"/>
  <c r="AL42" i="17" s="1"/>
  <c r="AO47" i="17"/>
  <c r="AP47" i="17" s="1"/>
  <c r="S48" i="17"/>
  <c r="AN47" i="17"/>
  <c r="U47" i="17"/>
  <c r="N42" i="17"/>
  <c r="P42" i="17" s="1"/>
  <c r="S47" i="17"/>
  <c r="AT41" i="17"/>
  <c r="AS41" i="17"/>
  <c r="U137" i="17" l="1"/>
  <c r="AN137" i="17"/>
  <c r="X133" i="17"/>
  <c r="E134" i="17" s="1"/>
  <c r="F134" i="17" s="1"/>
  <c r="AI133" i="17"/>
  <c r="AJ133" i="17" s="1"/>
  <c r="G133" i="17"/>
  <c r="Z133" i="17"/>
  <c r="AD133" i="17" s="1"/>
  <c r="N132" i="17"/>
  <c r="P132" i="17" s="1"/>
  <c r="J133" i="17"/>
  <c r="K133" i="17"/>
  <c r="L133" i="17"/>
  <c r="V133" i="17" s="1"/>
  <c r="G43" i="17"/>
  <c r="I43" i="17"/>
  <c r="J43" i="17" s="1"/>
  <c r="AE42" i="17"/>
  <c r="AM48" i="17" s="1"/>
  <c r="AA42" i="17"/>
  <c r="AR42" i="17" s="1"/>
  <c r="AB42" i="17"/>
  <c r="AC42" i="17" s="1"/>
  <c r="AF42" i="17"/>
  <c r="AG43" i="17" s="1"/>
  <c r="AI43" i="17" s="1"/>
  <c r="AJ43" i="17" s="1"/>
  <c r="AU41" i="17"/>
  <c r="AD43" i="17"/>
  <c r="AE43" i="17"/>
  <c r="AF43" i="17"/>
  <c r="AG44" i="17" s="1"/>
  <c r="AA43" i="17"/>
  <c r="Q42" i="17"/>
  <c r="AQ42" i="17"/>
  <c r="T48" i="17"/>
  <c r="I134" i="17" l="1"/>
  <c r="K134" i="17" s="1"/>
  <c r="AK133" i="17"/>
  <c r="AL133" i="17" s="1"/>
  <c r="AH134" i="17"/>
  <c r="W133" i="17"/>
  <c r="Q132" i="17"/>
  <c r="AQ132" i="17"/>
  <c r="T138" i="17"/>
  <c r="O133" i="17"/>
  <c r="N133" i="17" s="1"/>
  <c r="P133" i="17" s="1"/>
  <c r="AB133" i="17"/>
  <c r="AC133" i="17" s="1"/>
  <c r="AA133" i="17"/>
  <c r="AF133" i="17"/>
  <c r="AG134" i="17" s="1"/>
  <c r="AE133" i="17"/>
  <c r="AM139" i="17" s="1"/>
  <c r="L134" i="17"/>
  <c r="V134" i="17" s="1"/>
  <c r="AH135" i="17" s="1"/>
  <c r="G134" i="17"/>
  <c r="Z134" i="17"/>
  <c r="L43" i="17"/>
  <c r="V43" i="17" s="1"/>
  <c r="W43" i="17" s="1"/>
  <c r="AR43" i="17" s="1"/>
  <c r="X43" i="17"/>
  <c r="E44" i="17" s="1"/>
  <c r="F44" i="17" s="1"/>
  <c r="G44" i="17" s="1"/>
  <c r="K43" i="17"/>
  <c r="O43" i="17" s="1"/>
  <c r="N43" i="17" s="1"/>
  <c r="P43" i="17" s="1"/>
  <c r="AK43" i="17"/>
  <c r="AL43" i="17" s="1"/>
  <c r="AB43" i="17"/>
  <c r="AC43" i="17" s="1"/>
  <c r="AM49" i="17"/>
  <c r="AT42" i="17"/>
  <c r="AS42" i="17"/>
  <c r="AN48" i="17"/>
  <c r="U48" i="17"/>
  <c r="AO48" i="17"/>
  <c r="AP48" i="17" s="1"/>
  <c r="J134" i="17" l="1"/>
  <c r="X134" i="17"/>
  <c r="E135" i="17" s="1"/>
  <c r="AI134" i="17"/>
  <c r="AJ134" i="17" s="1"/>
  <c r="Q133" i="17"/>
  <c r="T139" i="17"/>
  <c r="U139" i="17" s="1"/>
  <c r="AQ133" i="17"/>
  <c r="AB134" i="17"/>
  <c r="AC134" i="17" s="1"/>
  <c r="AD134" i="17"/>
  <c r="AE134" i="17"/>
  <c r="AM140" i="17" s="1"/>
  <c r="AF134" i="17"/>
  <c r="AG135" i="17" s="1"/>
  <c r="AI135" i="17" s="1"/>
  <c r="AA134" i="17"/>
  <c r="U138" i="17"/>
  <c r="AN138" i="17"/>
  <c r="AO138" i="17"/>
  <c r="AP138" i="17" s="1"/>
  <c r="W134" i="17"/>
  <c r="R139" i="17"/>
  <c r="O134" i="17"/>
  <c r="N134" i="17" s="1"/>
  <c r="R49" i="17"/>
  <c r="S49" i="17" s="1"/>
  <c r="AH44" i="17"/>
  <c r="AI44" i="17" s="1"/>
  <c r="AJ44" i="17" s="1"/>
  <c r="Z44" i="17"/>
  <c r="AD44" i="17" s="1"/>
  <c r="I44" i="17"/>
  <c r="L44" i="17" s="1"/>
  <c r="V44" i="17" s="1"/>
  <c r="AH45" i="17" s="1"/>
  <c r="Q43" i="17"/>
  <c r="AQ43" i="17"/>
  <c r="T49" i="17"/>
  <c r="AU42" i="17"/>
  <c r="AK134" i="17" l="1"/>
  <c r="AL134" i="17" s="1"/>
  <c r="R140" i="17"/>
  <c r="S140" i="17" s="1"/>
  <c r="AJ135" i="17"/>
  <c r="I135" i="17"/>
  <c r="F135" i="17"/>
  <c r="P134" i="17"/>
  <c r="AK44" i="17"/>
  <c r="AL44" i="17" s="1"/>
  <c r="S139" i="17"/>
  <c r="AN139" i="17"/>
  <c r="AO139" i="17"/>
  <c r="J44" i="17"/>
  <c r="AA44" i="17"/>
  <c r="W44" i="17"/>
  <c r="AF44" i="17"/>
  <c r="AG45" i="17" s="1"/>
  <c r="AI45" i="17" s="1"/>
  <c r="AJ45" i="17" s="1"/>
  <c r="X44" i="17"/>
  <c r="E45" i="17" s="1"/>
  <c r="F45" i="17" s="1"/>
  <c r="Z45" i="17" s="1"/>
  <c r="AD45" i="17" s="1"/>
  <c r="AE44" i="17"/>
  <c r="AM50" i="17" s="1"/>
  <c r="K44" i="17"/>
  <c r="O44" i="17" s="1"/>
  <c r="N44" i="17" s="1"/>
  <c r="P44" i="17" s="1"/>
  <c r="AB44" i="17"/>
  <c r="AC44" i="17" s="1"/>
  <c r="AT43" i="17"/>
  <c r="AS43" i="17"/>
  <c r="AO49" i="17"/>
  <c r="U49" i="17"/>
  <c r="AN49" i="17"/>
  <c r="L135" i="17" l="1"/>
  <c r="V135" i="17" s="1"/>
  <c r="K135" i="17"/>
  <c r="J135" i="17"/>
  <c r="G135" i="17"/>
  <c r="Z135" i="17"/>
  <c r="X135" i="17"/>
  <c r="E136" i="17" s="1"/>
  <c r="AR44" i="17"/>
  <c r="AP139" i="17"/>
  <c r="AQ134" i="17"/>
  <c r="T140" i="17"/>
  <c r="Q134" i="17"/>
  <c r="G45" i="17"/>
  <c r="AK45" i="17"/>
  <c r="AL45" i="17" s="1"/>
  <c r="R50" i="17"/>
  <c r="S50" i="17" s="1"/>
  <c r="I45" i="17"/>
  <c r="K45" i="17" s="1"/>
  <c r="O45" i="17" s="1"/>
  <c r="N45" i="17" s="1"/>
  <c r="AU43" i="17"/>
  <c r="AP49" i="17"/>
  <c r="AE45" i="17"/>
  <c r="AF45" i="17"/>
  <c r="AG46" i="17" s="1"/>
  <c r="AA45" i="17"/>
  <c r="AQ44" i="17"/>
  <c r="Q44" i="17"/>
  <c r="T50" i="17"/>
  <c r="O135" i="17" l="1"/>
  <c r="R141" i="17" s="1"/>
  <c r="S141" i="17" s="1"/>
  <c r="AF135" i="17"/>
  <c r="AG136" i="17" s="1"/>
  <c r="AB135" i="17"/>
  <c r="AC135" i="17" s="1"/>
  <c r="AA135" i="17"/>
  <c r="AE135" i="17"/>
  <c r="AM141" i="17" s="1"/>
  <c r="W135" i="17"/>
  <c r="AH136" i="17"/>
  <c r="I136" i="17"/>
  <c r="F136" i="17"/>
  <c r="AD135" i="17"/>
  <c r="AK135" i="17" s="1"/>
  <c r="AL135" i="17" s="1"/>
  <c r="AO140" i="17"/>
  <c r="AP140" i="17" s="1"/>
  <c r="AN140" i="17"/>
  <c r="U140" i="17"/>
  <c r="J45" i="17"/>
  <c r="X45" i="17"/>
  <c r="E46" i="17" s="1"/>
  <c r="F46" i="17" s="1"/>
  <c r="G46" i="17" s="1"/>
  <c r="AB45" i="17"/>
  <c r="AC45" i="17" s="1"/>
  <c r="L45" i="17"/>
  <c r="V45" i="17" s="1"/>
  <c r="AH46" i="17" s="1"/>
  <c r="AI46" i="17" s="1"/>
  <c r="AJ46" i="17" s="1"/>
  <c r="P45" i="17"/>
  <c r="R51" i="17"/>
  <c r="AS44" i="17"/>
  <c r="AT44" i="17"/>
  <c r="AM51" i="17"/>
  <c r="U50" i="17"/>
  <c r="AO50" i="17"/>
  <c r="AN50" i="17"/>
  <c r="X136" i="17" l="1"/>
  <c r="E137" i="17" s="1"/>
  <c r="F137" i="17" s="1"/>
  <c r="AI136" i="17"/>
  <c r="AJ136" i="17" s="1"/>
  <c r="G136" i="17"/>
  <c r="Z136" i="17"/>
  <c r="N135" i="17"/>
  <c r="P135" i="17" s="1"/>
  <c r="K136" i="17"/>
  <c r="O136" i="17" s="1"/>
  <c r="N136" i="17" s="1"/>
  <c r="J136" i="17"/>
  <c r="L136" i="17"/>
  <c r="V136" i="17" s="1"/>
  <c r="W45" i="17"/>
  <c r="AR45" i="17" s="1"/>
  <c r="Z46" i="17"/>
  <c r="AF46" i="17" s="1"/>
  <c r="AG47" i="17" s="1"/>
  <c r="I46" i="17"/>
  <c r="J46" i="17" s="1"/>
  <c r="AU44" i="17"/>
  <c r="S51" i="17"/>
  <c r="AP50" i="17"/>
  <c r="AQ45" i="17"/>
  <c r="Q45" i="17"/>
  <c r="T51" i="17"/>
  <c r="I137" i="17" l="1"/>
  <c r="J137" i="17" s="1"/>
  <c r="P136" i="17"/>
  <c r="T142" i="17" s="1"/>
  <c r="R142" i="17"/>
  <c r="S142" i="17" s="1"/>
  <c r="AH137" i="17"/>
  <c r="W136" i="17"/>
  <c r="AA136" i="17"/>
  <c r="AD136" i="17"/>
  <c r="AK136" i="17" s="1"/>
  <c r="AL136" i="17" s="1"/>
  <c r="AB136" i="17"/>
  <c r="AF136" i="17"/>
  <c r="AG137" i="17" s="1"/>
  <c r="AE136" i="17"/>
  <c r="AM142" i="17" s="1"/>
  <c r="AE46" i="17"/>
  <c r="AM52" i="17" s="1"/>
  <c r="AQ135" i="17"/>
  <c r="T141" i="17"/>
  <c r="Q135" i="17"/>
  <c r="G137" i="17"/>
  <c r="Z137" i="17"/>
  <c r="K46" i="17"/>
  <c r="O46" i="17" s="1"/>
  <c r="N46" i="17" s="1"/>
  <c r="P46" i="17" s="1"/>
  <c r="T52" i="17" s="1"/>
  <c r="U52" i="17" s="1"/>
  <c r="X46" i="17"/>
  <c r="E47" i="17" s="1"/>
  <c r="F47" i="17" s="1"/>
  <c r="G47" i="17" s="1"/>
  <c r="AA46" i="17"/>
  <c r="AB46" i="17"/>
  <c r="AC46" i="17" s="1"/>
  <c r="L46" i="17"/>
  <c r="V46" i="17" s="1"/>
  <c r="AH47" i="17" s="1"/>
  <c r="AI47" i="17" s="1"/>
  <c r="AJ47" i="17" s="1"/>
  <c r="AD46" i="17"/>
  <c r="AK46" i="17" s="1"/>
  <c r="AL46" i="17" s="1"/>
  <c r="AO51" i="17"/>
  <c r="U51" i="17"/>
  <c r="AN51" i="17"/>
  <c r="AT45" i="17"/>
  <c r="AS45" i="17"/>
  <c r="K137" i="17" l="1"/>
  <c r="O137" i="17" s="1"/>
  <c r="N137" i="17" s="1"/>
  <c r="P137" i="17" s="1"/>
  <c r="X137" i="17"/>
  <c r="E138" i="17" s="1"/>
  <c r="F138" i="17" s="1"/>
  <c r="Z138" i="17" s="1"/>
  <c r="AA138" i="17" s="1"/>
  <c r="L137" i="17"/>
  <c r="V137" i="17" s="1"/>
  <c r="W137" i="17" s="1"/>
  <c r="U142" i="17"/>
  <c r="R52" i="17"/>
  <c r="S52" i="17" s="1"/>
  <c r="Q136" i="17"/>
  <c r="AI137" i="17"/>
  <c r="AJ137" i="17" s="1"/>
  <c r="AN142" i="17"/>
  <c r="AQ136" i="17"/>
  <c r="AO142" i="17"/>
  <c r="AF137" i="17"/>
  <c r="AG138" i="17" s="1"/>
  <c r="AE137" i="17"/>
  <c r="AM143" i="17" s="1"/>
  <c r="AA137" i="17"/>
  <c r="AC136" i="17"/>
  <c r="AB137" i="17"/>
  <c r="AC137" i="17" s="1"/>
  <c r="AD137" i="17"/>
  <c r="U141" i="17"/>
  <c r="AN141" i="17"/>
  <c r="AO141" i="17"/>
  <c r="AP141" i="17" s="1"/>
  <c r="Z47" i="17"/>
  <c r="AA47" i="17" s="1"/>
  <c r="I47" i="17"/>
  <c r="X47" i="17" s="1"/>
  <c r="E48" i="17" s="1"/>
  <c r="F48" i="17" s="1"/>
  <c r="G48" i="17" s="1"/>
  <c r="W46" i="17"/>
  <c r="AR46" i="17" s="1"/>
  <c r="AQ46" i="17"/>
  <c r="Q46" i="17"/>
  <c r="AT46" i="17" s="1"/>
  <c r="AN52" i="17"/>
  <c r="AU45" i="17"/>
  <c r="AP51" i="17"/>
  <c r="AH138" i="17" l="1"/>
  <c r="AI138" i="17" s="1"/>
  <c r="AJ138" i="17" s="1"/>
  <c r="R143" i="17"/>
  <c r="S143" i="17" s="1"/>
  <c r="I138" i="17"/>
  <c r="L138" i="17" s="1"/>
  <c r="V138" i="17" s="1"/>
  <c r="AQ137" i="17"/>
  <c r="Q137" i="17"/>
  <c r="T143" i="17"/>
  <c r="G138" i="17"/>
  <c r="AE47" i="17"/>
  <c r="AM53" i="17" s="1"/>
  <c r="AD47" i="17"/>
  <c r="AK47" i="17" s="1"/>
  <c r="AL47" i="17" s="1"/>
  <c r="AO52" i="17"/>
  <c r="AP52" i="17" s="1"/>
  <c r="AK137" i="17"/>
  <c r="AL137" i="17" s="1"/>
  <c r="AD138" i="17"/>
  <c r="AE138" i="17"/>
  <c r="AM144" i="17" s="1"/>
  <c r="AF138" i="17"/>
  <c r="AG139" i="17" s="1"/>
  <c r="AP142" i="17"/>
  <c r="J47" i="17"/>
  <c r="Z48" i="17"/>
  <c r="AA48" i="17" s="1"/>
  <c r="AB47" i="17"/>
  <c r="AC47" i="17" s="1"/>
  <c r="AF47" i="17"/>
  <c r="AG48" i="17" s="1"/>
  <c r="L47" i="17"/>
  <c r="V47" i="17" s="1"/>
  <c r="W47" i="17" s="1"/>
  <c r="AR47" i="17" s="1"/>
  <c r="K47" i="17"/>
  <c r="O47" i="17" s="1"/>
  <c r="N47" i="17" s="1"/>
  <c r="P47" i="17" s="1"/>
  <c r="T53" i="17" s="1"/>
  <c r="U53" i="17" s="1"/>
  <c r="I48" i="17"/>
  <c r="J48" i="17" s="1"/>
  <c r="AS46" i="17"/>
  <c r="AU46" i="17" s="1"/>
  <c r="AO143" i="17" l="1"/>
  <c r="AP143" i="17" s="1"/>
  <c r="X138" i="17"/>
  <c r="E139" i="17" s="1"/>
  <c r="F139" i="17" s="1"/>
  <c r="J138" i="17"/>
  <c r="AB138" i="17"/>
  <c r="AC138" i="17" s="1"/>
  <c r="K138" i="17"/>
  <c r="O138" i="17" s="1"/>
  <c r="R144" i="17" s="1"/>
  <c r="S144" i="17" s="1"/>
  <c r="AN143" i="17"/>
  <c r="AH139" i="17"/>
  <c r="AI139" i="17" s="1"/>
  <c r="AJ139" i="17" s="1"/>
  <c r="W138" i="17"/>
  <c r="U143" i="17"/>
  <c r="AH48" i="17"/>
  <c r="AI48" i="17" s="1"/>
  <c r="AJ48" i="17" s="1"/>
  <c r="K48" i="17"/>
  <c r="O48" i="17" s="1"/>
  <c r="N48" i="17" s="1"/>
  <c r="P48" i="17" s="1"/>
  <c r="T54" i="17" s="1"/>
  <c r="U54" i="17" s="1"/>
  <c r="AE48" i="17"/>
  <c r="AM54" i="17" s="1"/>
  <c r="AD48" i="17"/>
  <c r="I139" i="17"/>
  <c r="X48" i="17"/>
  <c r="E49" i="17" s="1"/>
  <c r="I49" i="17" s="1"/>
  <c r="K49" i="17" s="1"/>
  <c r="O49" i="17" s="1"/>
  <c r="AK138" i="17"/>
  <c r="AL138" i="17" s="1"/>
  <c r="AF48" i="17"/>
  <c r="AG49" i="17" s="1"/>
  <c r="L48" i="17"/>
  <c r="V48" i="17" s="1"/>
  <c r="AH49" i="17" s="1"/>
  <c r="AN53" i="17"/>
  <c r="AQ47" i="17"/>
  <c r="R53" i="17"/>
  <c r="S53" i="17" s="1"/>
  <c r="AB48" i="17"/>
  <c r="AC48" i="17" s="1"/>
  <c r="Q47" i="17"/>
  <c r="AT47" i="17" s="1"/>
  <c r="N138" i="17" l="1"/>
  <c r="P138" i="17" s="1"/>
  <c r="T144" i="17" s="1"/>
  <c r="AN144" i="17" s="1"/>
  <c r="R54" i="17"/>
  <c r="S54" i="17" s="1"/>
  <c r="AI49" i="17"/>
  <c r="AJ49" i="17" s="1"/>
  <c r="R55" i="17"/>
  <c r="AS47" i="17"/>
  <c r="AU47" i="17" s="1"/>
  <c r="F49" i="17"/>
  <c r="Z49" i="17" s="1"/>
  <c r="AF49" i="17" s="1"/>
  <c r="AG50" i="17" s="1"/>
  <c r="AK48" i="17"/>
  <c r="AL48" i="17" s="1"/>
  <c r="Z139" i="17"/>
  <c r="X139" i="17"/>
  <c r="E140" i="17" s="1"/>
  <c r="G139" i="17"/>
  <c r="L49" i="17"/>
  <c r="V49" i="17" s="1"/>
  <c r="W49" i="17" s="1"/>
  <c r="J49" i="17"/>
  <c r="L139" i="17"/>
  <c r="V139" i="17" s="1"/>
  <c r="K139" i="17"/>
  <c r="O139" i="17" s="1"/>
  <c r="R145" i="17" s="1"/>
  <c r="S145" i="17" s="1"/>
  <c r="J139" i="17"/>
  <c r="AO53" i="17"/>
  <c r="AP53" i="17" s="1"/>
  <c r="AN54" i="17"/>
  <c r="W48" i="17"/>
  <c r="AR48" i="17" s="1"/>
  <c r="Q48" i="17"/>
  <c r="AT48" i="17" s="1"/>
  <c r="AQ48" i="17"/>
  <c r="N49" i="17"/>
  <c r="P49" i="17" s="1"/>
  <c r="U144" i="17" l="1"/>
  <c r="Q138" i="17"/>
  <c r="AO144" i="17"/>
  <c r="AP144" i="17" s="1"/>
  <c r="AQ138" i="17"/>
  <c r="S55" i="17"/>
  <c r="AO54" i="17"/>
  <c r="AP54" i="17" s="1"/>
  <c r="AE49" i="17"/>
  <c r="AM55" i="17" s="1"/>
  <c r="AB49" i="17"/>
  <c r="AC49" i="17" s="1"/>
  <c r="AA49" i="17"/>
  <c r="AR49" i="17" s="1"/>
  <c r="X49" i="17"/>
  <c r="E50" i="17" s="1"/>
  <c r="I50" i="17" s="1"/>
  <c r="K50" i="17" s="1"/>
  <c r="O50" i="17" s="1"/>
  <c r="R56" i="17" s="1"/>
  <c r="S56" i="17" s="1"/>
  <c r="G49" i="17"/>
  <c r="AD49" i="17"/>
  <c r="AK49" i="17" s="1"/>
  <c r="AL49" i="17" s="1"/>
  <c r="AQ49" i="17"/>
  <c r="AH50" i="17"/>
  <c r="AI50" i="17" s="1"/>
  <c r="AJ50" i="17" s="1"/>
  <c r="AH140" i="17"/>
  <c r="W139" i="17"/>
  <c r="F140" i="17"/>
  <c r="I140" i="17"/>
  <c r="N139" i="17"/>
  <c r="P139" i="17" s="1"/>
  <c r="AB139" i="17"/>
  <c r="AC139" i="17" s="1"/>
  <c r="AF139" i="17"/>
  <c r="AG140" i="17" s="1"/>
  <c r="AE139" i="17"/>
  <c r="AM145" i="17" s="1"/>
  <c r="AA139" i="17"/>
  <c r="AD139" i="17"/>
  <c r="AK139" i="17" s="1"/>
  <c r="AL139" i="17" s="1"/>
  <c r="AS48" i="17"/>
  <c r="AU48" i="17" s="1"/>
  <c r="Q49" i="17"/>
  <c r="T55" i="17"/>
  <c r="AN55" i="17" l="1"/>
  <c r="AT49" i="17"/>
  <c r="L50" i="17"/>
  <c r="V50" i="17" s="1"/>
  <c r="AH51" i="17" s="1"/>
  <c r="N50" i="17"/>
  <c r="P50" i="17" s="1"/>
  <c r="T56" i="17" s="1"/>
  <c r="J50" i="17"/>
  <c r="F50" i="17"/>
  <c r="G50" i="17" s="1"/>
  <c r="AI140" i="17"/>
  <c r="AJ140" i="17" s="1"/>
  <c r="K140" i="17"/>
  <c r="O140" i="17" s="1"/>
  <c r="N140" i="17" s="1"/>
  <c r="P140" i="17" s="1"/>
  <c r="L140" i="17"/>
  <c r="V140" i="17" s="1"/>
  <c r="AH141" i="17" s="1"/>
  <c r="J140" i="17"/>
  <c r="G140" i="17"/>
  <c r="Z140" i="17"/>
  <c r="X140" i="17"/>
  <c r="E141" i="17" s="1"/>
  <c r="T145" i="17"/>
  <c r="AQ139" i="17"/>
  <c r="Q139" i="17"/>
  <c r="AS49" i="17"/>
  <c r="AO55" i="17"/>
  <c r="AP55" i="17" s="1"/>
  <c r="U55" i="17"/>
  <c r="Z50" i="17" l="1"/>
  <c r="AF50" i="17" s="1"/>
  <c r="AG51" i="17" s="1"/>
  <c r="AI51" i="17" s="1"/>
  <c r="AJ51" i="17" s="1"/>
  <c r="AU49" i="17"/>
  <c r="X50" i="17"/>
  <c r="E51" i="17" s="1"/>
  <c r="F51" i="17" s="1"/>
  <c r="G51" i="17" s="1"/>
  <c r="Q50" i="17"/>
  <c r="AS50" i="17" s="1"/>
  <c r="W50" i="17"/>
  <c r="R146" i="17"/>
  <c r="S146" i="17" s="1"/>
  <c r="W140" i="17"/>
  <c r="Q140" i="17"/>
  <c r="F141" i="17"/>
  <c r="I141" i="17"/>
  <c r="AQ140" i="17"/>
  <c r="AB140" i="17"/>
  <c r="AC140" i="17" s="1"/>
  <c r="AF140" i="17"/>
  <c r="AG141" i="17" s="1"/>
  <c r="AI141" i="17" s="1"/>
  <c r="AJ141" i="17" s="1"/>
  <c r="AA140" i="17"/>
  <c r="AD140" i="17"/>
  <c r="AK140" i="17" s="1"/>
  <c r="AL140" i="17" s="1"/>
  <c r="AE140" i="17"/>
  <c r="AM146" i="17" s="1"/>
  <c r="T146" i="17"/>
  <c r="U145" i="17"/>
  <c r="AN145" i="17"/>
  <c r="AO145" i="17"/>
  <c r="AP145" i="17" s="1"/>
  <c r="U56" i="17"/>
  <c r="AD50" i="17" l="1"/>
  <c r="AK50" i="17" s="1"/>
  <c r="AL50" i="17" s="1"/>
  <c r="I51" i="17"/>
  <c r="J51" i="17" s="1"/>
  <c r="AA50" i="17"/>
  <c r="AT50" i="17" s="1"/>
  <c r="AU50" i="17" s="1"/>
  <c r="AB50" i="17"/>
  <c r="AC50" i="17" s="1"/>
  <c r="AQ50" i="17"/>
  <c r="AE50" i="17"/>
  <c r="AM56" i="17" s="1"/>
  <c r="AN56" i="17" s="1"/>
  <c r="Z51" i="17"/>
  <c r="AE51" i="17" s="1"/>
  <c r="X141" i="17"/>
  <c r="E142" i="17" s="1"/>
  <c r="F142" i="17" s="1"/>
  <c r="G142" i="17" s="1"/>
  <c r="AO146" i="17"/>
  <c r="AP146" i="17" s="1"/>
  <c r="Z141" i="17"/>
  <c r="G141" i="17"/>
  <c r="J141" i="17"/>
  <c r="L141" i="17"/>
  <c r="V141" i="17" s="1"/>
  <c r="K141" i="17"/>
  <c r="O141" i="17" s="1"/>
  <c r="AN146" i="17"/>
  <c r="U146" i="17"/>
  <c r="X51" i="17" l="1"/>
  <c r="E52" i="17" s="1"/>
  <c r="I52" i="17" s="1"/>
  <c r="J52" i="17" s="1"/>
  <c r="AR50" i="17"/>
  <c r="K51" i="17"/>
  <c r="O51" i="17" s="1"/>
  <c r="N51" i="17" s="1"/>
  <c r="P51" i="17" s="1"/>
  <c r="T57" i="17" s="1"/>
  <c r="U57" i="17" s="1"/>
  <c r="L51" i="17"/>
  <c r="V51" i="17" s="1"/>
  <c r="W51" i="17" s="1"/>
  <c r="AO56" i="17"/>
  <c r="AP56" i="17" s="1"/>
  <c r="AB51" i="17"/>
  <c r="AC51" i="17" s="1"/>
  <c r="AM57" i="17"/>
  <c r="AA51" i="17"/>
  <c r="AD51" i="17"/>
  <c r="AK51" i="17" s="1"/>
  <c r="AL51" i="17" s="1"/>
  <c r="AF51" i="17"/>
  <c r="AG52" i="17" s="1"/>
  <c r="Z142" i="17"/>
  <c r="AD142" i="17" s="1"/>
  <c r="I142" i="17"/>
  <c r="X142" i="17" s="1"/>
  <c r="E143" i="17" s="1"/>
  <c r="I143" i="17" s="1"/>
  <c r="N141" i="17"/>
  <c r="P141" i="17" s="1"/>
  <c r="R147" i="17"/>
  <c r="S147" i="17" s="1"/>
  <c r="AB141" i="17"/>
  <c r="AC141" i="17" s="1"/>
  <c r="AF141" i="17"/>
  <c r="AG142" i="17" s="1"/>
  <c r="AA141" i="17"/>
  <c r="AD141" i="17"/>
  <c r="AK141" i="17" s="1"/>
  <c r="AL141" i="17" s="1"/>
  <c r="AE141" i="17"/>
  <c r="AM147" i="17" s="1"/>
  <c r="W141" i="17"/>
  <c r="AH142" i="17"/>
  <c r="K52" i="17" l="1"/>
  <c r="O52" i="17" s="1"/>
  <c r="N52" i="17" s="1"/>
  <c r="P52" i="17" s="1"/>
  <c r="T58" i="17" s="1"/>
  <c r="U58" i="17" s="1"/>
  <c r="L52" i="17"/>
  <c r="V52" i="17" s="1"/>
  <c r="W52" i="17" s="1"/>
  <c r="F52" i="17"/>
  <c r="G52" i="17" s="1"/>
  <c r="AR51" i="17"/>
  <c r="AN57" i="17"/>
  <c r="AH52" i="17"/>
  <c r="AI52" i="17" s="1"/>
  <c r="AJ52" i="17" s="1"/>
  <c r="R57" i="17"/>
  <c r="AO57" i="17" s="1"/>
  <c r="AP57" i="17" s="1"/>
  <c r="AQ51" i="17"/>
  <c r="Q51" i="17"/>
  <c r="AT51" i="17" s="1"/>
  <c r="F143" i="17"/>
  <c r="Z143" i="17" s="1"/>
  <c r="AB143" i="17" s="1"/>
  <c r="J142" i="17"/>
  <c r="K142" i="17"/>
  <c r="O142" i="17" s="1"/>
  <c r="R148" i="17" s="1"/>
  <c r="S148" i="17" s="1"/>
  <c r="L142" i="17"/>
  <c r="V142" i="17" s="1"/>
  <c r="AH143" i="17" s="1"/>
  <c r="AF142" i="17"/>
  <c r="AG143" i="17" s="1"/>
  <c r="AA142" i="17"/>
  <c r="AE142" i="17"/>
  <c r="AM148" i="17" s="1"/>
  <c r="AB142" i="17"/>
  <c r="AC142" i="17" s="1"/>
  <c r="AI142" i="17"/>
  <c r="AQ141" i="17"/>
  <c r="Q141" i="17"/>
  <c r="T147" i="17"/>
  <c r="J143" i="17"/>
  <c r="L143" i="17"/>
  <c r="K143" i="17"/>
  <c r="R58" i="17" l="1"/>
  <c r="S58" i="17" s="1"/>
  <c r="X52" i="17"/>
  <c r="E53" i="17" s="1"/>
  <c r="I53" i="17" s="1"/>
  <c r="J53" i="17" s="1"/>
  <c r="Z52" i="17"/>
  <c r="AB52" i="17" s="1"/>
  <c r="AC52" i="17" s="1"/>
  <c r="AH53" i="17"/>
  <c r="S57" i="17"/>
  <c r="Q52" i="17"/>
  <c r="AS52" i="17" s="1"/>
  <c r="AS51" i="17"/>
  <c r="AU51" i="17" s="1"/>
  <c r="V143" i="17"/>
  <c r="AH144" i="17" s="1"/>
  <c r="G143" i="17"/>
  <c r="X143" i="17"/>
  <c r="E144" i="17" s="1"/>
  <c r="I144" i="17" s="1"/>
  <c r="J144" i="17" s="1"/>
  <c r="AI143" i="17"/>
  <c r="AJ143" i="17" s="1"/>
  <c r="N142" i="17"/>
  <c r="P142" i="17" s="1"/>
  <c r="AQ142" i="17" s="1"/>
  <c r="W142" i="17"/>
  <c r="AC143" i="17"/>
  <c r="AJ142" i="17"/>
  <c r="AK142" i="17"/>
  <c r="AL142" i="17" s="1"/>
  <c r="U147" i="17"/>
  <c r="AN147" i="17"/>
  <c r="AO147" i="17"/>
  <c r="AP147" i="17" s="1"/>
  <c r="O143" i="17"/>
  <c r="N143" i="17" s="1"/>
  <c r="AD143" i="17"/>
  <c r="AE143" i="17"/>
  <c r="AF143" i="17"/>
  <c r="AG144" i="17" s="1"/>
  <c r="AA143" i="17"/>
  <c r="AD52" i="17" l="1"/>
  <c r="AK52" i="17" s="1"/>
  <c r="AL52" i="17" s="1"/>
  <c r="F53" i="17"/>
  <c r="X53" i="17" s="1"/>
  <c r="E54" i="17" s="1"/>
  <c r="F54" i="17" s="1"/>
  <c r="Z54" i="17" s="1"/>
  <c r="AF54" i="17" s="1"/>
  <c r="AG55" i="17" s="1"/>
  <c r="K53" i="17"/>
  <c r="O53" i="17" s="1"/>
  <c r="N53" i="17" s="1"/>
  <c r="P53" i="17" s="1"/>
  <c r="L53" i="17"/>
  <c r="V53" i="17" s="1"/>
  <c r="AH54" i="17" s="1"/>
  <c r="AA52" i="17"/>
  <c r="AR52" i="17" s="1"/>
  <c r="AE52" i="17"/>
  <c r="AM58" i="17" s="1"/>
  <c r="AN58" i="17" s="1"/>
  <c r="AF52" i="17"/>
  <c r="AG53" i="17" s="1"/>
  <c r="AI53" i="17" s="1"/>
  <c r="AJ53" i="17" s="1"/>
  <c r="AQ52" i="17"/>
  <c r="W143" i="17"/>
  <c r="L144" i="17"/>
  <c r="V144" i="17" s="1"/>
  <c r="W144" i="17" s="1"/>
  <c r="K144" i="17"/>
  <c r="O144" i="17" s="1"/>
  <c r="R150" i="17" s="1"/>
  <c r="F144" i="17"/>
  <c r="G144" i="17" s="1"/>
  <c r="T148" i="17"/>
  <c r="AO148" i="17" s="1"/>
  <c r="AP148" i="17" s="1"/>
  <c r="Q142" i="17"/>
  <c r="AK143" i="17"/>
  <c r="AL143" i="17" s="1"/>
  <c r="AI144" i="17"/>
  <c r="AJ144" i="17" s="1"/>
  <c r="P143" i="17"/>
  <c r="AM149" i="17"/>
  <c r="R149" i="17"/>
  <c r="S149" i="17" s="1"/>
  <c r="R59" i="17" l="1"/>
  <c r="S59" i="17" s="1"/>
  <c r="AE54" i="17"/>
  <c r="W53" i="17"/>
  <c r="G54" i="17"/>
  <c r="I54" i="17"/>
  <c r="J54" i="17" s="1"/>
  <c r="AD54" i="17"/>
  <c r="Z53" i="17"/>
  <c r="AB53" i="17" s="1"/>
  <c r="AC53" i="17" s="1"/>
  <c r="G53" i="17"/>
  <c r="AT52" i="17"/>
  <c r="AU52" i="17" s="1"/>
  <c r="AO58" i="17"/>
  <c r="AP58" i="17" s="1"/>
  <c r="AH145" i="17"/>
  <c r="Z144" i="17"/>
  <c r="AE144" i="17" s="1"/>
  <c r="AM150" i="17" s="1"/>
  <c r="X144" i="17"/>
  <c r="E145" i="17" s="1"/>
  <c r="I145" i="17" s="1"/>
  <c r="J145" i="17" s="1"/>
  <c r="AN148" i="17"/>
  <c r="U148" i="17"/>
  <c r="Q143" i="17"/>
  <c r="AQ143" i="17"/>
  <c r="T149" i="17"/>
  <c r="AO149" i="17" s="1"/>
  <c r="N144" i="17"/>
  <c r="S150" i="17"/>
  <c r="Q53" i="17"/>
  <c r="T59" i="17"/>
  <c r="AD53" i="17" l="1"/>
  <c r="AK53" i="17" s="1"/>
  <c r="AL53" i="17" s="1"/>
  <c r="X54" i="17"/>
  <c r="E55" i="17" s="1"/>
  <c r="F55" i="17" s="1"/>
  <c r="G55" i="17" s="1"/>
  <c r="AE53" i="17"/>
  <c r="AM59" i="17" s="1"/>
  <c r="AO59" i="17" s="1"/>
  <c r="AP59" i="17" s="1"/>
  <c r="AF53" i="17"/>
  <c r="AG54" i="17" s="1"/>
  <c r="AI54" i="17" s="1"/>
  <c r="AJ54" i="17" s="1"/>
  <c r="K54" i="17"/>
  <c r="O54" i="17" s="1"/>
  <c r="N54" i="17" s="1"/>
  <c r="P54" i="17" s="1"/>
  <c r="T60" i="17" s="1"/>
  <c r="U60" i="17" s="1"/>
  <c r="AB54" i="17"/>
  <c r="AC54" i="17" s="1"/>
  <c r="AA53" i="17"/>
  <c r="AR53" i="17" s="1"/>
  <c r="L54" i="17"/>
  <c r="V54" i="17" s="1"/>
  <c r="W54" i="17" s="1"/>
  <c r="AQ53" i="17"/>
  <c r="AA54" i="17"/>
  <c r="L145" i="17"/>
  <c r="V145" i="17" s="1"/>
  <c r="K145" i="17"/>
  <c r="O145" i="17" s="1"/>
  <c r="R151" i="17" s="1"/>
  <c r="S151" i="17" s="1"/>
  <c r="F145" i="17"/>
  <c r="G145" i="17" s="1"/>
  <c r="AB144" i="17"/>
  <c r="AC144" i="17" s="1"/>
  <c r="AA144" i="17"/>
  <c r="AF144" i="17"/>
  <c r="AG145" i="17" s="1"/>
  <c r="AI145" i="17" s="1"/>
  <c r="AJ145" i="17" s="1"/>
  <c r="AD144" i="17"/>
  <c r="AK144" i="17" s="1"/>
  <c r="AL144" i="17" s="1"/>
  <c r="AP149" i="17"/>
  <c r="U149" i="17"/>
  <c r="AN149" i="17"/>
  <c r="P144" i="17"/>
  <c r="AS53" i="17"/>
  <c r="U59" i="17"/>
  <c r="AN59" i="17" l="1"/>
  <c r="I55" i="17"/>
  <c r="L55" i="17" s="1"/>
  <c r="V55" i="17" s="1"/>
  <c r="AH56" i="17" s="1"/>
  <c r="Z55" i="17"/>
  <c r="AD55" i="17" s="1"/>
  <c r="AM60" i="17"/>
  <c r="AN60" i="17" s="1"/>
  <c r="AK54" i="17"/>
  <c r="AL54" i="17" s="1"/>
  <c r="AT53" i="17"/>
  <c r="AU53" i="17" s="1"/>
  <c r="Q54" i="17"/>
  <c r="AT54" i="17" s="1"/>
  <c r="R60" i="17"/>
  <c r="S60" i="17" s="1"/>
  <c r="AR54" i="17"/>
  <c r="AQ54" i="17"/>
  <c r="AH55" i="17"/>
  <c r="AI55" i="17" s="1"/>
  <c r="AJ55" i="17" s="1"/>
  <c r="Z145" i="17"/>
  <c r="AA145" i="17" s="1"/>
  <c r="X145" i="17"/>
  <c r="E146" i="17" s="1"/>
  <c r="F146" i="17" s="1"/>
  <c r="G146" i="17" s="1"/>
  <c r="N145" i="17"/>
  <c r="P145" i="17" s="1"/>
  <c r="Q144" i="17"/>
  <c r="AQ144" i="17"/>
  <c r="T150" i="17"/>
  <c r="W145" i="17"/>
  <c r="AH146" i="17"/>
  <c r="J55" i="17" l="1"/>
  <c r="K55" i="17"/>
  <c r="O55" i="17" s="1"/>
  <c r="R61" i="17" s="1"/>
  <c r="S61" i="17" s="1"/>
  <c r="X55" i="17"/>
  <c r="E56" i="17" s="1"/>
  <c r="I56" i="17" s="1"/>
  <c r="J56" i="17" s="1"/>
  <c r="AB55" i="17"/>
  <c r="AC55" i="17" s="1"/>
  <c r="AE55" i="17"/>
  <c r="AM61" i="17" s="1"/>
  <c r="AF55" i="17"/>
  <c r="AG56" i="17" s="1"/>
  <c r="AI56" i="17" s="1"/>
  <c r="AJ56" i="17" s="1"/>
  <c r="AA55" i="17"/>
  <c r="AS54" i="17"/>
  <c r="AU54" i="17" s="1"/>
  <c r="AO60" i="17"/>
  <c r="AP60" i="17" s="1"/>
  <c r="W55" i="17"/>
  <c r="AK55" i="17"/>
  <c r="AL55" i="17" s="1"/>
  <c r="AQ145" i="17"/>
  <c r="AF145" i="17"/>
  <c r="AG146" i="17" s="1"/>
  <c r="AI146" i="17" s="1"/>
  <c r="AJ146" i="17" s="1"/>
  <c r="Z146" i="17"/>
  <c r="AA146" i="17" s="1"/>
  <c r="AB145" i="17"/>
  <c r="AC145" i="17" s="1"/>
  <c r="I146" i="17"/>
  <c r="J146" i="17" s="1"/>
  <c r="AD145" i="17"/>
  <c r="AK145" i="17" s="1"/>
  <c r="AL145" i="17" s="1"/>
  <c r="AE145" i="17"/>
  <c r="AM151" i="17" s="1"/>
  <c r="T151" i="17"/>
  <c r="Q145" i="17"/>
  <c r="U150" i="17"/>
  <c r="AO150" i="17"/>
  <c r="AN150" i="17"/>
  <c r="L56" i="17" l="1"/>
  <c r="V56" i="17" s="1"/>
  <c r="W56" i="17" s="1"/>
  <c r="AR55" i="17"/>
  <c r="F56" i="17"/>
  <c r="Z56" i="17" s="1"/>
  <c r="AD56" i="17" s="1"/>
  <c r="AK56" i="17" s="1"/>
  <c r="AL56" i="17" s="1"/>
  <c r="K56" i="17"/>
  <c r="O56" i="17" s="1"/>
  <c r="N56" i="17" s="1"/>
  <c r="N55" i="17"/>
  <c r="P55" i="17" s="1"/>
  <c r="T61" i="17" s="1"/>
  <c r="AN61" i="17" s="1"/>
  <c r="AE146" i="17"/>
  <c r="AM152" i="17" s="1"/>
  <c r="AD146" i="17"/>
  <c r="AK146" i="17" s="1"/>
  <c r="AL146" i="17" s="1"/>
  <c r="AF146" i="17"/>
  <c r="AG147" i="17" s="1"/>
  <c r="AO151" i="17"/>
  <c r="AP151" i="17" s="1"/>
  <c r="K146" i="17"/>
  <c r="O146" i="17" s="1"/>
  <c r="R152" i="17" s="1"/>
  <c r="S152" i="17" s="1"/>
  <c r="L146" i="17"/>
  <c r="V146" i="17" s="1"/>
  <c r="X146" i="17"/>
  <c r="E147" i="17" s="1"/>
  <c r="I147" i="17" s="1"/>
  <c r="J147" i="17" s="1"/>
  <c r="AB146" i="17"/>
  <c r="AC146" i="17" s="1"/>
  <c r="U151" i="17"/>
  <c r="AN151" i="17"/>
  <c r="AP150" i="17"/>
  <c r="AB56" i="17" l="1"/>
  <c r="AC56" i="17" s="1"/>
  <c r="G56" i="17"/>
  <c r="AE56" i="17"/>
  <c r="AM62" i="17" s="1"/>
  <c r="AA56" i="17"/>
  <c r="AR56" i="17" s="1"/>
  <c r="AH57" i="17"/>
  <c r="R62" i="17"/>
  <c r="S62" i="17" s="1"/>
  <c r="X56" i="17"/>
  <c r="E57" i="17" s="1"/>
  <c r="I57" i="17" s="1"/>
  <c r="J57" i="17" s="1"/>
  <c r="AF56" i="17"/>
  <c r="AG57" i="17" s="1"/>
  <c r="AO61" i="17"/>
  <c r="AP61" i="17" s="1"/>
  <c r="P56" i="17"/>
  <c r="T62" i="17" s="1"/>
  <c r="Q55" i="17"/>
  <c r="AS55" i="17" s="1"/>
  <c r="AQ55" i="17"/>
  <c r="U61" i="17"/>
  <c r="L147" i="17"/>
  <c r="V147" i="17" s="1"/>
  <c r="AH148" i="17" s="1"/>
  <c r="N146" i="17"/>
  <c r="P146" i="17" s="1"/>
  <c r="AQ146" i="17" s="1"/>
  <c r="K147" i="17"/>
  <c r="O147" i="17" s="1"/>
  <c r="R153" i="17" s="1"/>
  <c r="S153" i="17" s="1"/>
  <c r="F147" i="17"/>
  <c r="X147" i="17" s="1"/>
  <c r="E148" i="17" s="1"/>
  <c r="F148" i="17" s="1"/>
  <c r="AH147" i="17"/>
  <c r="AI147" i="17" s="1"/>
  <c r="AJ147" i="17" s="1"/>
  <c r="W146" i="17"/>
  <c r="K57" i="17" l="1"/>
  <c r="O57" i="17" s="1"/>
  <c r="N57" i="17" s="1"/>
  <c r="P57" i="17" s="1"/>
  <c r="T63" i="17" s="1"/>
  <c r="AQ56" i="17"/>
  <c r="AN62" i="17"/>
  <c r="L57" i="17"/>
  <c r="V57" i="17" s="1"/>
  <c r="AH58" i="17" s="1"/>
  <c r="AI57" i="17"/>
  <c r="AJ57" i="17" s="1"/>
  <c r="F57" i="17"/>
  <c r="X57" i="17" s="1"/>
  <c r="E58" i="17" s="1"/>
  <c r="AO62" i="17"/>
  <c r="AP62" i="17" s="1"/>
  <c r="U62" i="17"/>
  <c r="Q56" i="17"/>
  <c r="AS56" i="17" s="1"/>
  <c r="AT55" i="17"/>
  <c r="AU55" i="17" s="1"/>
  <c r="T152" i="17"/>
  <c r="AO152" i="17" s="1"/>
  <c r="Q146" i="17"/>
  <c r="W147" i="17"/>
  <c r="Z147" i="17"/>
  <c r="AB147" i="17" s="1"/>
  <c r="AC147" i="17" s="1"/>
  <c r="I148" i="17"/>
  <c r="J148" i="17" s="1"/>
  <c r="G147" i="17"/>
  <c r="N147" i="17"/>
  <c r="P147" i="17" s="1"/>
  <c r="Z148" i="17"/>
  <c r="G148" i="17"/>
  <c r="R63" i="17" l="1"/>
  <c r="S63" i="17" s="1"/>
  <c r="Q57" i="17"/>
  <c r="AS57" i="17" s="1"/>
  <c r="W57" i="17"/>
  <c r="Z57" i="17"/>
  <c r="AB57" i="17" s="1"/>
  <c r="AC57" i="17" s="1"/>
  <c r="G57" i="17"/>
  <c r="AT56" i="17"/>
  <c r="AU56" i="17" s="1"/>
  <c r="I58" i="17"/>
  <c r="F58" i="17"/>
  <c r="AB148" i="17"/>
  <c r="AC148" i="17" s="1"/>
  <c r="AN152" i="17"/>
  <c r="U152" i="17"/>
  <c r="AE147" i="17"/>
  <c r="AM153" i="17" s="1"/>
  <c r="AQ147" i="17"/>
  <c r="AA147" i="17"/>
  <c r="AF147" i="17"/>
  <c r="AG148" i="17" s="1"/>
  <c r="AI148" i="17" s="1"/>
  <c r="AJ148" i="17" s="1"/>
  <c r="AD147" i="17"/>
  <c r="AK147" i="17" s="1"/>
  <c r="AL147" i="17" s="1"/>
  <c r="L148" i="17"/>
  <c r="V148" i="17" s="1"/>
  <c r="W148" i="17" s="1"/>
  <c r="X148" i="17"/>
  <c r="E149" i="17" s="1"/>
  <c r="F149" i="17" s="1"/>
  <c r="G149" i="17" s="1"/>
  <c r="K148" i="17"/>
  <c r="O148" i="17" s="1"/>
  <c r="R154" i="17" s="1"/>
  <c r="S154" i="17" s="1"/>
  <c r="Q147" i="17"/>
  <c r="T153" i="17"/>
  <c r="AP152" i="17"/>
  <c r="AD148" i="17"/>
  <c r="AE148" i="17"/>
  <c r="AF148" i="17"/>
  <c r="AG149" i="17" s="1"/>
  <c r="AA148" i="17"/>
  <c r="U63" i="17"/>
  <c r="AD57" i="17" l="1"/>
  <c r="AK57" i="17" s="1"/>
  <c r="AL57" i="17" s="1"/>
  <c r="AF57" i="17"/>
  <c r="AG58" i="17" s="1"/>
  <c r="AI58" i="17" s="1"/>
  <c r="AJ58" i="17" s="1"/>
  <c r="AA57" i="17"/>
  <c r="AR57" i="17" s="1"/>
  <c r="AQ57" i="17"/>
  <c r="AE57" i="17"/>
  <c r="AM63" i="17" s="1"/>
  <c r="AN63" i="17" s="1"/>
  <c r="AK148" i="17"/>
  <c r="AL148" i="17" s="1"/>
  <c r="AH149" i="17"/>
  <c r="AI149" i="17" s="1"/>
  <c r="Z58" i="17"/>
  <c r="AD58" i="17" s="1"/>
  <c r="G58" i="17"/>
  <c r="X58" i="17"/>
  <c r="E59" i="17" s="1"/>
  <c r="K58" i="17"/>
  <c r="O58" i="17" s="1"/>
  <c r="J58" i="17"/>
  <c r="L58" i="17"/>
  <c r="V58" i="17" s="1"/>
  <c r="AO153" i="17"/>
  <c r="AP153" i="17" s="1"/>
  <c r="I149" i="17"/>
  <c r="J149" i="17" s="1"/>
  <c r="Z149" i="17"/>
  <c r="AE149" i="17" s="1"/>
  <c r="AM155" i="17" s="1"/>
  <c r="AN153" i="17"/>
  <c r="U153" i="17"/>
  <c r="N148" i="17"/>
  <c r="P148" i="17" s="1"/>
  <c r="AM154" i="17"/>
  <c r="AT57" i="17" l="1"/>
  <c r="AU57" i="17" s="1"/>
  <c r="AK58" i="17"/>
  <c r="AL58" i="17" s="1"/>
  <c r="AO63" i="17"/>
  <c r="AP63" i="17" s="1"/>
  <c r="N58" i="17"/>
  <c r="P58" i="17" s="1"/>
  <c r="R64" i="17"/>
  <c r="S64" i="17" s="1"/>
  <c r="AB58" i="17"/>
  <c r="AC58" i="17" s="1"/>
  <c r="AA58" i="17"/>
  <c r="AF58" i="17"/>
  <c r="AG59" i="17" s="1"/>
  <c r="AE58" i="17"/>
  <c r="AM64" i="17" s="1"/>
  <c r="AH59" i="17"/>
  <c r="W58" i="17"/>
  <c r="F59" i="17"/>
  <c r="I59" i="17"/>
  <c r="AF149" i="17"/>
  <c r="AG150" i="17" s="1"/>
  <c r="AB149" i="17"/>
  <c r="AC149" i="17" s="1"/>
  <c r="L149" i="17"/>
  <c r="V149" i="17" s="1"/>
  <c r="W149" i="17" s="1"/>
  <c r="K149" i="17"/>
  <c r="O149" i="17" s="1"/>
  <c r="R155" i="17" s="1"/>
  <c r="S155" i="17" s="1"/>
  <c r="AA149" i="17"/>
  <c r="AD149" i="17"/>
  <c r="AK149" i="17" s="1"/>
  <c r="X149" i="17"/>
  <c r="E150" i="17" s="1"/>
  <c r="F150" i="17" s="1"/>
  <c r="Z150" i="17" s="1"/>
  <c r="AQ148" i="17"/>
  <c r="Q148" i="17"/>
  <c r="T154" i="17"/>
  <c r="AJ149" i="17"/>
  <c r="AI59" i="17" l="1"/>
  <c r="AJ59" i="17" s="1"/>
  <c r="AR58" i="17"/>
  <c r="Q58" i="17"/>
  <c r="T64" i="17"/>
  <c r="U64" i="17" s="1"/>
  <c r="AQ58" i="17"/>
  <c r="X59" i="17"/>
  <c r="E60" i="17" s="1"/>
  <c r="J59" i="17"/>
  <c r="L59" i="17"/>
  <c r="V59" i="17" s="1"/>
  <c r="K59" i="17"/>
  <c r="Z59" i="17"/>
  <c r="G59" i="17"/>
  <c r="N149" i="17"/>
  <c r="P149" i="17" s="1"/>
  <c r="T155" i="17" s="1"/>
  <c r="G150" i="17"/>
  <c r="AH150" i="17"/>
  <c r="AI150" i="17" s="1"/>
  <c r="AJ150" i="17" s="1"/>
  <c r="I150" i="17"/>
  <c r="J150" i="17" s="1"/>
  <c r="AD150" i="17"/>
  <c r="AE150" i="17"/>
  <c r="AF150" i="17"/>
  <c r="AG151" i="17" s="1"/>
  <c r="AA150" i="17"/>
  <c r="U154" i="17"/>
  <c r="AN154" i="17"/>
  <c r="AL149" i="17"/>
  <c r="AO154" i="17"/>
  <c r="AQ149" i="17" l="1"/>
  <c r="W59" i="17"/>
  <c r="AH60" i="17"/>
  <c r="AO64" i="17"/>
  <c r="AP64" i="17" s="1"/>
  <c r="AD59" i="17"/>
  <c r="AK59" i="17" s="1"/>
  <c r="AL59" i="17" s="1"/>
  <c r="AE59" i="17"/>
  <c r="AM65" i="17" s="1"/>
  <c r="AF59" i="17"/>
  <c r="AG60" i="17" s="1"/>
  <c r="AA59" i="17"/>
  <c r="AB59" i="17"/>
  <c r="AC59" i="17" s="1"/>
  <c r="AT58" i="17"/>
  <c r="AS58" i="17"/>
  <c r="AN64" i="17"/>
  <c r="O59" i="17"/>
  <c r="F60" i="17"/>
  <c r="I60" i="17"/>
  <c r="Q149" i="17"/>
  <c r="X150" i="17"/>
  <c r="E151" i="17" s="1"/>
  <c r="I151" i="17" s="1"/>
  <c r="K151" i="17" s="1"/>
  <c r="AB150" i="17"/>
  <c r="AC150" i="17" s="1"/>
  <c r="AK150" i="17"/>
  <c r="AL150" i="17" s="1"/>
  <c r="K150" i="17"/>
  <c r="O150" i="17" s="1"/>
  <c r="R156" i="17" s="1"/>
  <c r="S156" i="17" s="1"/>
  <c r="L150" i="17"/>
  <c r="V150" i="17" s="1"/>
  <c r="AH151" i="17" s="1"/>
  <c r="AI151" i="17" s="1"/>
  <c r="AM156" i="17"/>
  <c r="U155" i="17"/>
  <c r="AP154" i="17"/>
  <c r="AO155" i="17"/>
  <c r="AN155" i="17"/>
  <c r="L151" i="17" l="1"/>
  <c r="V151" i="17" s="1"/>
  <c r="AH152" i="17" s="1"/>
  <c r="AR59" i="17"/>
  <c r="N150" i="17"/>
  <c r="P150" i="17" s="1"/>
  <c r="Q150" i="17" s="1"/>
  <c r="X60" i="17"/>
  <c r="E61" i="17" s="1"/>
  <c r="L60" i="17"/>
  <c r="V60" i="17" s="1"/>
  <c r="J60" i="17"/>
  <c r="K60" i="17"/>
  <c r="O60" i="17" s="1"/>
  <c r="N60" i="17" s="1"/>
  <c r="Z60" i="17"/>
  <c r="AD60" i="17" s="1"/>
  <c r="G60" i="17"/>
  <c r="R65" i="17"/>
  <c r="S65" i="17" s="1"/>
  <c r="AI60" i="17"/>
  <c r="N59" i="17"/>
  <c r="AU58" i="17"/>
  <c r="J151" i="17"/>
  <c r="F151" i="17"/>
  <c r="X151" i="17" s="1"/>
  <c r="E152" i="17" s="1"/>
  <c r="I152" i="17" s="1"/>
  <c r="L152" i="17" s="1"/>
  <c r="W150" i="17"/>
  <c r="AJ151" i="17"/>
  <c r="AP155" i="17"/>
  <c r="O151" i="17"/>
  <c r="R157" i="17" s="1"/>
  <c r="S157" i="17" s="1"/>
  <c r="V152" i="17" l="1"/>
  <c r="W152" i="17" s="1"/>
  <c r="AQ150" i="17"/>
  <c r="W151" i="17"/>
  <c r="T156" i="17"/>
  <c r="AN156" i="17" s="1"/>
  <c r="R66" i="17"/>
  <c r="S66" i="17" s="1"/>
  <c r="F61" i="17"/>
  <c r="I61" i="17"/>
  <c r="AA60" i="17"/>
  <c r="AE60" i="17"/>
  <c r="AM66" i="17" s="1"/>
  <c r="AF60" i="17"/>
  <c r="AG61" i="17" s="1"/>
  <c r="AB60" i="17"/>
  <c r="AC60" i="17" s="1"/>
  <c r="P59" i="17"/>
  <c r="P60" i="17"/>
  <c r="AJ60" i="17"/>
  <c r="AK60" i="17"/>
  <c r="AL60" i="17" s="1"/>
  <c r="AH61" i="17"/>
  <c r="W60" i="17"/>
  <c r="J152" i="17"/>
  <c r="K152" i="17"/>
  <c r="O152" i="17" s="1"/>
  <c r="R158" i="17" s="1"/>
  <c r="S158" i="17" s="1"/>
  <c r="F152" i="17"/>
  <c r="G152" i="17" s="1"/>
  <c r="G151" i="17"/>
  <c r="Z151" i="17"/>
  <c r="AF151" i="17" s="1"/>
  <c r="AG152" i="17" s="1"/>
  <c r="AI152" i="17" s="1"/>
  <c r="N151" i="17"/>
  <c r="P151" i="17" s="1"/>
  <c r="AH153" i="17" l="1"/>
  <c r="AO156" i="17"/>
  <c r="AP156" i="17" s="1"/>
  <c r="U156" i="17"/>
  <c r="AR60" i="17"/>
  <c r="AI61" i="17"/>
  <c r="AJ61" i="17" s="1"/>
  <c r="Q60" i="17"/>
  <c r="AQ60" i="17"/>
  <c r="X61" i="17"/>
  <c r="E62" i="17" s="1"/>
  <c r="K61" i="17"/>
  <c r="O61" i="17" s="1"/>
  <c r="L61" i="17"/>
  <c r="J61" i="17"/>
  <c r="Z61" i="17"/>
  <c r="G61" i="17"/>
  <c r="AQ59" i="17"/>
  <c r="T65" i="17"/>
  <c r="Q59" i="17"/>
  <c r="T66" i="17"/>
  <c r="AO66" i="17" s="1"/>
  <c r="AQ151" i="17"/>
  <c r="AE151" i="17"/>
  <c r="AM157" i="17" s="1"/>
  <c r="AB151" i="17"/>
  <c r="AC151" i="17" s="1"/>
  <c r="Z152" i="17"/>
  <c r="AB152" i="17" s="1"/>
  <c r="X152" i="17"/>
  <c r="E153" i="17" s="1"/>
  <c r="F153" i="17" s="1"/>
  <c r="Z153" i="17" s="1"/>
  <c r="AA151" i="17"/>
  <c r="AD151" i="17"/>
  <c r="AK151" i="17" s="1"/>
  <c r="AL151" i="17" s="1"/>
  <c r="Q151" i="17"/>
  <c r="T157" i="17"/>
  <c r="N152" i="17"/>
  <c r="P152" i="17" s="1"/>
  <c r="Q152" i="17" s="1"/>
  <c r="AJ152" i="17"/>
  <c r="AE152" i="17" l="1"/>
  <c r="AC152" i="17"/>
  <c r="AS59" i="17"/>
  <c r="AT59" i="17"/>
  <c r="N61" i="17"/>
  <c r="R67" i="17"/>
  <c r="I62" i="17"/>
  <c r="F62" i="17"/>
  <c r="AA152" i="17"/>
  <c r="AO65" i="17"/>
  <c r="AP66" i="17" s="1"/>
  <c r="AN65" i="17"/>
  <c r="U65" i="17"/>
  <c r="AN66" i="17"/>
  <c r="AD61" i="17"/>
  <c r="AK61" i="17" s="1"/>
  <c r="AL61" i="17" s="1"/>
  <c r="AF61" i="17"/>
  <c r="AG62" i="17" s="1"/>
  <c r="AE61" i="17"/>
  <c r="AM67" i="17" s="1"/>
  <c r="AA61" i="17"/>
  <c r="V61" i="17"/>
  <c r="AA153" i="17"/>
  <c r="AD152" i="17"/>
  <c r="AK152" i="17" s="1"/>
  <c r="AL152" i="17" s="1"/>
  <c r="U66" i="17"/>
  <c r="AB61" i="17"/>
  <c r="AC61" i="17" s="1"/>
  <c r="AT60" i="17"/>
  <c r="AS60" i="17"/>
  <c r="AM158" i="17"/>
  <c r="AO157" i="17"/>
  <c r="AP157" i="17" s="1"/>
  <c r="AF152" i="17"/>
  <c r="AG153" i="17" s="1"/>
  <c r="AI153" i="17" s="1"/>
  <c r="AJ153" i="17" s="1"/>
  <c r="G153" i="17"/>
  <c r="AF153" i="17"/>
  <c r="AG154" i="17" s="1"/>
  <c r="I153" i="17"/>
  <c r="J153" i="17" s="1"/>
  <c r="AE153" i="17"/>
  <c r="AD153" i="17"/>
  <c r="T158" i="17"/>
  <c r="AQ152" i="17"/>
  <c r="AN157" i="17"/>
  <c r="U157" i="17"/>
  <c r="AM159" i="17" l="1"/>
  <c r="AK153" i="17"/>
  <c r="AL153" i="17" s="1"/>
  <c r="AU60" i="17"/>
  <c r="AU59" i="17"/>
  <c r="L62" i="17"/>
  <c r="V62" i="17" s="1"/>
  <c r="K62" i="17"/>
  <c r="O62" i="17" s="1"/>
  <c r="J62" i="17"/>
  <c r="P61" i="17"/>
  <c r="S67" i="17"/>
  <c r="Z62" i="17"/>
  <c r="G62" i="17"/>
  <c r="AH62" i="17"/>
  <c r="AI62" i="17" s="1"/>
  <c r="W61" i="17"/>
  <c r="AR61" i="17" s="1"/>
  <c r="AP65" i="17"/>
  <c r="AN158" i="17"/>
  <c r="X62" i="17"/>
  <c r="E63" i="17" s="1"/>
  <c r="AB153" i="17"/>
  <c r="AC153" i="17" s="1"/>
  <c r="X153" i="17"/>
  <c r="E154" i="17" s="1"/>
  <c r="I154" i="17" s="1"/>
  <c r="J154" i="17" s="1"/>
  <c r="L153" i="17"/>
  <c r="V153" i="17" s="1"/>
  <c r="W153" i="17" s="1"/>
  <c r="K153" i="17"/>
  <c r="O153" i="17" s="1"/>
  <c r="R159" i="17" s="1"/>
  <c r="S159" i="17" s="1"/>
  <c r="AO158" i="17"/>
  <c r="AP158" i="17" s="1"/>
  <c r="U158" i="17"/>
  <c r="F154" i="17" l="1"/>
  <c r="X154" i="17" s="1"/>
  <c r="E155" i="17" s="1"/>
  <c r="F155" i="17" s="1"/>
  <c r="G155" i="17" s="1"/>
  <c r="AJ62" i="17"/>
  <c r="AD62" i="17"/>
  <c r="AK62" i="17" s="1"/>
  <c r="AL62" i="17" s="1"/>
  <c r="AF62" i="17"/>
  <c r="AG63" i="17" s="1"/>
  <c r="AE62" i="17"/>
  <c r="AM68" i="17" s="1"/>
  <c r="AA62" i="17"/>
  <c r="AB62" i="17"/>
  <c r="W62" i="17"/>
  <c r="AH63" i="17"/>
  <c r="T67" i="17"/>
  <c r="AQ61" i="17"/>
  <c r="Q61" i="17"/>
  <c r="I63" i="17"/>
  <c r="F63" i="17"/>
  <c r="N62" i="17"/>
  <c r="R68" i="17"/>
  <c r="S68" i="17" s="1"/>
  <c r="N153" i="17"/>
  <c r="P153" i="17" s="1"/>
  <c r="AQ153" i="17" s="1"/>
  <c r="AH154" i="17"/>
  <c r="AI154" i="17" s="1"/>
  <c r="AJ154" i="17" s="1"/>
  <c r="K154" i="17"/>
  <c r="O154" i="17" s="1"/>
  <c r="R160" i="17" s="1"/>
  <c r="S160" i="17" s="1"/>
  <c r="L154" i="17"/>
  <c r="V154" i="17" s="1"/>
  <c r="W154" i="17" s="1"/>
  <c r="Q153" i="17" l="1"/>
  <c r="Z154" i="17"/>
  <c r="AE154" i="17" s="1"/>
  <c r="AM160" i="17" s="1"/>
  <c r="I155" i="17"/>
  <c r="K155" i="17" s="1"/>
  <c r="O155" i="17" s="1"/>
  <c r="R161" i="17" s="1"/>
  <c r="S161" i="17" s="1"/>
  <c r="G154" i="17"/>
  <c r="AI63" i="17"/>
  <c r="AJ63" i="17" s="1"/>
  <c r="P62" i="17"/>
  <c r="X63" i="17"/>
  <c r="E64" i="17" s="1"/>
  <c r="Z63" i="17"/>
  <c r="AD63" i="17" s="1"/>
  <c r="G63" i="17"/>
  <c r="AT61" i="17"/>
  <c r="AS61" i="17"/>
  <c r="AN67" i="17"/>
  <c r="U67" i="17"/>
  <c r="AO67" i="17"/>
  <c r="AR62" i="17"/>
  <c r="K63" i="17"/>
  <c r="O63" i="17" s="1"/>
  <c r="L63" i="17"/>
  <c r="V63" i="17" s="1"/>
  <c r="J63" i="17"/>
  <c r="AC62" i="17"/>
  <c r="T159" i="17"/>
  <c r="AO159" i="17" s="1"/>
  <c r="AP159" i="17" s="1"/>
  <c r="AH155" i="17"/>
  <c r="N154" i="17"/>
  <c r="P154" i="17" s="1"/>
  <c r="AQ154" i="17" s="1"/>
  <c r="J155" i="17"/>
  <c r="Z155" i="17"/>
  <c r="AD155" i="17" s="1"/>
  <c r="L155" i="17" l="1"/>
  <c r="V155" i="17" s="1"/>
  <c r="W155" i="17" s="1"/>
  <c r="X155" i="17"/>
  <c r="E156" i="17" s="1"/>
  <c r="I156" i="17" s="1"/>
  <c r="L156" i="17" s="1"/>
  <c r="AA154" i="17"/>
  <c r="AF154" i="17"/>
  <c r="AG155" i="17" s="1"/>
  <c r="AI155" i="17" s="1"/>
  <c r="AJ155" i="17" s="1"/>
  <c r="AD154" i="17"/>
  <c r="AK154" i="17" s="1"/>
  <c r="AL154" i="17" s="1"/>
  <c r="AB154" i="17"/>
  <c r="AC154" i="17" s="1"/>
  <c r="AN159" i="17"/>
  <c r="AK63" i="17"/>
  <c r="AL63" i="17" s="1"/>
  <c r="AB155" i="17"/>
  <c r="AB63" i="17"/>
  <c r="AC63" i="17" s="1"/>
  <c r="N63" i="17"/>
  <c r="R69" i="17"/>
  <c r="S69" i="17" s="1"/>
  <c r="AU61" i="17"/>
  <c r="AA63" i="17"/>
  <c r="AE63" i="17"/>
  <c r="AM69" i="17" s="1"/>
  <c r="AF63" i="17"/>
  <c r="AG64" i="17" s="1"/>
  <c r="I64" i="17"/>
  <c r="F64" i="17"/>
  <c r="AP67" i="17"/>
  <c r="Q154" i="17"/>
  <c r="AH64" i="17"/>
  <c r="W63" i="17"/>
  <c r="AQ62" i="17"/>
  <c r="T68" i="17"/>
  <c r="Q62" i="17"/>
  <c r="U159" i="17"/>
  <c r="AE155" i="17"/>
  <c r="AM161" i="17" s="1"/>
  <c r="T160" i="17"/>
  <c r="U160" i="17" s="1"/>
  <c r="AA155" i="17"/>
  <c r="AF155" i="17"/>
  <c r="AG156" i="17" s="1"/>
  <c r="N155" i="17"/>
  <c r="P155" i="17" s="1"/>
  <c r="AR63" i="17" l="1"/>
  <c r="K156" i="17"/>
  <c r="O156" i="17" s="1"/>
  <c r="R162" i="17" s="1"/>
  <c r="S162" i="17" s="1"/>
  <c r="AH156" i="17"/>
  <c r="AI156" i="17" s="1"/>
  <c r="AJ156" i="17" s="1"/>
  <c r="V156" i="17"/>
  <c r="AH157" i="17" s="1"/>
  <c r="J156" i="17"/>
  <c r="F156" i="17"/>
  <c r="Z156" i="17" s="1"/>
  <c r="AF156" i="17" s="1"/>
  <c r="AG157" i="17" s="1"/>
  <c r="AC155" i="17"/>
  <c r="AK155" i="17"/>
  <c r="AL155" i="17" s="1"/>
  <c r="AN160" i="17"/>
  <c r="AS62" i="17"/>
  <c r="AT62" i="17"/>
  <c r="Z64" i="17"/>
  <c r="AD64" i="17" s="1"/>
  <c r="G64" i="17"/>
  <c r="AI64" i="17"/>
  <c r="AJ64" i="17" s="1"/>
  <c r="K64" i="17"/>
  <c r="O64" i="17" s="1"/>
  <c r="L64" i="17"/>
  <c r="V64" i="17" s="1"/>
  <c r="J64" i="17"/>
  <c r="AN68" i="17"/>
  <c r="AO68" i="17"/>
  <c r="U68" i="17"/>
  <c r="AO160" i="17"/>
  <c r="AP160" i="17" s="1"/>
  <c r="X64" i="17"/>
  <c r="E65" i="17" s="1"/>
  <c r="P63" i="17"/>
  <c r="AQ155" i="17"/>
  <c r="Q155" i="17"/>
  <c r="T161" i="17"/>
  <c r="AO161" i="17" s="1"/>
  <c r="W156" i="17" l="1"/>
  <c r="AB156" i="17"/>
  <c r="AC156" i="17" s="1"/>
  <c r="AA156" i="17"/>
  <c r="AD156" i="17"/>
  <c r="AK156" i="17" s="1"/>
  <c r="AL156" i="17" s="1"/>
  <c r="AE156" i="17"/>
  <c r="AM162" i="17" s="1"/>
  <c r="X156" i="17"/>
  <c r="E157" i="17" s="1"/>
  <c r="F157" i="17" s="1"/>
  <c r="Z157" i="17" s="1"/>
  <c r="G156" i="17"/>
  <c r="AU62" i="17"/>
  <c r="AH65" i="17"/>
  <c r="W64" i="17"/>
  <c r="N64" i="17"/>
  <c r="P64" i="17" s="1"/>
  <c r="AQ64" i="17" s="1"/>
  <c r="R70" i="17"/>
  <c r="S70" i="17" s="1"/>
  <c r="F65" i="17"/>
  <c r="I65" i="17"/>
  <c r="AK64" i="17"/>
  <c r="AL64" i="17" s="1"/>
  <c r="AP68" i="17"/>
  <c r="AB64" i="17"/>
  <c r="AC64" i="17" s="1"/>
  <c r="AE64" i="17"/>
  <c r="AM70" i="17" s="1"/>
  <c r="AF64" i="17"/>
  <c r="AG65" i="17" s="1"/>
  <c r="AA64" i="17"/>
  <c r="AQ63" i="17"/>
  <c r="Q63" i="17"/>
  <c r="T70" i="17"/>
  <c r="T69" i="17"/>
  <c r="AI157" i="17"/>
  <c r="AJ157" i="17" s="1"/>
  <c r="AP161" i="17"/>
  <c r="AN161" i="17"/>
  <c r="U161" i="17"/>
  <c r="N156" i="17"/>
  <c r="P156" i="17" s="1"/>
  <c r="I157" i="17" l="1"/>
  <c r="X157" i="17" s="1"/>
  <c r="E158" i="17" s="1"/>
  <c r="I158" i="17" s="1"/>
  <c r="J158" i="17" s="1"/>
  <c r="G157" i="17"/>
  <c r="Q64" i="17"/>
  <c r="AT64" i="17" s="1"/>
  <c r="X65" i="17"/>
  <c r="E66" i="17" s="1"/>
  <c r="F66" i="17" s="1"/>
  <c r="AR64" i="17"/>
  <c r="AI65" i="17"/>
  <c r="AJ65" i="17" s="1"/>
  <c r="AT63" i="17"/>
  <c r="AS63" i="17"/>
  <c r="L65" i="17"/>
  <c r="V65" i="17" s="1"/>
  <c r="K65" i="17"/>
  <c r="O65" i="17" s="1"/>
  <c r="J65" i="17"/>
  <c r="AN70" i="17"/>
  <c r="AO69" i="17"/>
  <c r="U69" i="17"/>
  <c r="AN69" i="17"/>
  <c r="U70" i="17"/>
  <c r="Z65" i="17"/>
  <c r="AD65" i="17" s="1"/>
  <c r="G65" i="17"/>
  <c r="AS64" i="17"/>
  <c r="AO70" i="17"/>
  <c r="J157" i="17"/>
  <c r="AD157" i="17"/>
  <c r="AK157" i="17" s="1"/>
  <c r="AL157" i="17" s="1"/>
  <c r="AQ156" i="17"/>
  <c r="Q156" i="17"/>
  <c r="T162" i="17"/>
  <c r="AF157" i="17"/>
  <c r="AG158" i="17" s="1"/>
  <c r="AE157" i="17"/>
  <c r="AM163" i="17" s="1"/>
  <c r="AA157" i="17"/>
  <c r="K157" i="17" l="1"/>
  <c r="O157" i="17" s="1"/>
  <c r="R163" i="17" s="1"/>
  <c r="S163" i="17" s="1"/>
  <c r="F158" i="17"/>
  <c r="X158" i="17" s="1"/>
  <c r="E159" i="17" s="1"/>
  <c r="I159" i="17" s="1"/>
  <c r="K159" i="17" s="1"/>
  <c r="L158" i="17"/>
  <c r="L157" i="17"/>
  <c r="V157" i="17" s="1"/>
  <c r="K158" i="17"/>
  <c r="O158" i="17" s="1"/>
  <c r="AB157" i="17"/>
  <c r="AC157" i="17" s="1"/>
  <c r="AK65" i="17"/>
  <c r="AL65" i="17" s="1"/>
  <c r="I66" i="17"/>
  <c r="X66" i="17" s="1"/>
  <c r="E67" i="17" s="1"/>
  <c r="AU63" i="17"/>
  <c r="AU64" i="17"/>
  <c r="AP70" i="17"/>
  <c r="Z66" i="17"/>
  <c r="AD66" i="17" s="1"/>
  <c r="AH66" i="17"/>
  <c r="W65" i="17"/>
  <c r="AP69" i="17"/>
  <c r="AB65" i="17"/>
  <c r="AC65" i="17" s="1"/>
  <c r="AF65" i="17"/>
  <c r="AG66" i="17" s="1"/>
  <c r="AE65" i="17"/>
  <c r="AM71" i="17" s="1"/>
  <c r="AA65" i="17"/>
  <c r="N65" i="17"/>
  <c r="P65" i="17" s="1"/>
  <c r="R71" i="17"/>
  <c r="S71" i="17" s="1"/>
  <c r="G66" i="17"/>
  <c r="AO162" i="17"/>
  <c r="U162" i="17"/>
  <c r="AN162" i="17"/>
  <c r="N157" i="17" l="1"/>
  <c r="P157" i="17" s="1"/>
  <c r="AQ157" i="17" s="1"/>
  <c r="Z158" i="17"/>
  <c r="AA158" i="17" s="1"/>
  <c r="V158" i="17"/>
  <c r="W158" i="17" s="1"/>
  <c r="F159" i="17"/>
  <c r="G159" i="17" s="1"/>
  <c r="G158" i="17"/>
  <c r="W157" i="17"/>
  <c r="AH158" i="17"/>
  <c r="AI158" i="17" s="1"/>
  <c r="AJ158" i="17" s="1"/>
  <c r="K66" i="17"/>
  <c r="O66" i="17" s="1"/>
  <c r="R72" i="17" s="1"/>
  <c r="S72" i="17" s="1"/>
  <c r="L66" i="17"/>
  <c r="V66" i="17" s="1"/>
  <c r="AH67" i="17" s="1"/>
  <c r="J66" i="17"/>
  <c r="AB66" i="17"/>
  <c r="AC66" i="17" s="1"/>
  <c r="L159" i="17"/>
  <c r="V159" i="17" s="1"/>
  <c r="AH160" i="17" s="1"/>
  <c r="AQ65" i="17"/>
  <c r="Q65" i="17"/>
  <c r="T71" i="17"/>
  <c r="AO71" i="17" s="1"/>
  <c r="AP71" i="17" s="1"/>
  <c r="AF66" i="17"/>
  <c r="AG67" i="17" s="1"/>
  <c r="AE66" i="17"/>
  <c r="AM72" i="17" s="1"/>
  <c r="AA66" i="17"/>
  <c r="AI66" i="17"/>
  <c r="AJ66" i="17" s="1"/>
  <c r="AR65" i="17"/>
  <c r="I67" i="17"/>
  <c r="F67" i="17"/>
  <c r="J159" i="17"/>
  <c r="R164" i="17"/>
  <c r="S164" i="17" s="1"/>
  <c r="AP162" i="17"/>
  <c r="O159" i="17"/>
  <c r="R165" i="17" s="1"/>
  <c r="N158" i="17"/>
  <c r="Q157" i="17" l="1"/>
  <c r="T163" i="17"/>
  <c r="U163" i="17" s="1"/>
  <c r="AE158" i="17"/>
  <c r="AM164" i="17" s="1"/>
  <c r="AH159" i="17"/>
  <c r="AB158" i="17"/>
  <c r="AC158" i="17" s="1"/>
  <c r="AF158" i="17"/>
  <c r="AG159" i="17" s="1"/>
  <c r="AD158" i="17"/>
  <c r="AK158" i="17" s="1"/>
  <c r="AL158" i="17" s="1"/>
  <c r="Z159" i="17"/>
  <c r="AA159" i="17" s="1"/>
  <c r="X159" i="17"/>
  <c r="E160" i="17" s="1"/>
  <c r="F160" i="17" s="1"/>
  <c r="G160" i="17" s="1"/>
  <c r="W66" i="17"/>
  <c r="AR66" i="17" s="1"/>
  <c r="AI67" i="17"/>
  <c r="AJ67" i="17" s="1"/>
  <c r="X67" i="17"/>
  <c r="E68" i="17" s="1"/>
  <c r="F68" i="17" s="1"/>
  <c r="W159" i="17"/>
  <c r="N66" i="17"/>
  <c r="P66" i="17" s="1"/>
  <c r="Q66" i="17" s="1"/>
  <c r="AT66" i="17" s="1"/>
  <c r="AK66" i="17"/>
  <c r="AL66" i="17" s="1"/>
  <c r="L67" i="17"/>
  <c r="V67" i="17" s="1"/>
  <c r="K67" i="17"/>
  <c r="J67" i="17"/>
  <c r="AT65" i="17"/>
  <c r="AS65" i="17"/>
  <c r="Z67" i="17"/>
  <c r="AB67" i="17" s="1"/>
  <c r="AC67" i="17" s="1"/>
  <c r="G67" i="17"/>
  <c r="AN71" i="17"/>
  <c r="U71" i="17"/>
  <c r="N159" i="17"/>
  <c r="P159" i="17" s="1"/>
  <c r="S165" i="17"/>
  <c r="P158" i="17"/>
  <c r="AN163" i="17" l="1"/>
  <c r="AO163" i="17"/>
  <c r="AP163" i="17" s="1"/>
  <c r="AI159" i="17"/>
  <c r="AJ159" i="17" s="1"/>
  <c r="AD159" i="17"/>
  <c r="Z160" i="17"/>
  <c r="AD160" i="17" s="1"/>
  <c r="AE159" i="17"/>
  <c r="AM165" i="17" s="1"/>
  <c r="AQ159" i="17"/>
  <c r="AF159" i="17"/>
  <c r="AG160" i="17" s="1"/>
  <c r="AI160" i="17" s="1"/>
  <c r="AB159" i="17"/>
  <c r="AC159" i="17" s="1"/>
  <c r="I160" i="17"/>
  <c r="J160" i="17" s="1"/>
  <c r="T72" i="17"/>
  <c r="AS66" i="17"/>
  <c r="AU66" i="17" s="1"/>
  <c r="AQ66" i="17"/>
  <c r="AD67" i="17"/>
  <c r="AK67" i="17" s="1"/>
  <c r="AL67" i="17" s="1"/>
  <c r="I68" i="17"/>
  <c r="L68" i="17" s="1"/>
  <c r="V68" i="17" s="1"/>
  <c r="W68" i="17" s="1"/>
  <c r="AE67" i="17"/>
  <c r="AM73" i="17" s="1"/>
  <c r="AF67" i="17"/>
  <c r="AG68" i="17" s="1"/>
  <c r="AA67" i="17"/>
  <c r="G68" i="17"/>
  <c r="AU65" i="17"/>
  <c r="Z68" i="17"/>
  <c r="O67" i="17"/>
  <c r="R73" i="17" s="1"/>
  <c r="S73" i="17" s="1"/>
  <c r="AH68" i="17"/>
  <c r="W67" i="17"/>
  <c r="AQ158" i="17"/>
  <c r="T164" i="17"/>
  <c r="Q159" i="17"/>
  <c r="T165" i="17"/>
  <c r="Q158" i="17"/>
  <c r="AF160" i="17" l="1"/>
  <c r="AG161" i="17" s="1"/>
  <c r="X160" i="17"/>
  <c r="E161" i="17" s="1"/>
  <c r="I161" i="17" s="1"/>
  <c r="L161" i="17" s="1"/>
  <c r="AK159" i="17"/>
  <c r="AL159" i="17" s="1"/>
  <c r="AB160" i="17"/>
  <c r="AC160" i="17" s="1"/>
  <c r="AA160" i="17"/>
  <c r="AK160" i="17"/>
  <c r="AE160" i="17"/>
  <c r="AM166" i="17" s="1"/>
  <c r="AO165" i="17"/>
  <c r="AJ160" i="17"/>
  <c r="K160" i="17"/>
  <c r="O160" i="17" s="1"/>
  <c r="R166" i="17" s="1"/>
  <c r="S166" i="17" s="1"/>
  <c r="L160" i="17"/>
  <c r="V160" i="17" s="1"/>
  <c r="AB68" i="17"/>
  <c r="AC68" i="17" s="1"/>
  <c r="AO72" i="17"/>
  <c r="AP72" i="17" s="1"/>
  <c r="U72" i="17"/>
  <c r="AN72" i="17"/>
  <c r="J68" i="17"/>
  <c r="X68" i="17"/>
  <c r="E69" i="17" s="1"/>
  <c r="I69" i="17" s="1"/>
  <c r="J69" i="17" s="1"/>
  <c r="K68" i="17"/>
  <c r="O68" i="17" s="1"/>
  <c r="R74" i="17" s="1"/>
  <c r="S74" i="17" s="1"/>
  <c r="AR67" i="17"/>
  <c r="AD68" i="17"/>
  <c r="AA68" i="17"/>
  <c r="AR68" i="17" s="1"/>
  <c r="N67" i="17"/>
  <c r="P67" i="17" s="1"/>
  <c r="AE68" i="17"/>
  <c r="AM74" i="17" s="1"/>
  <c r="AF68" i="17"/>
  <c r="AG69" i="17" s="1"/>
  <c r="AI68" i="17"/>
  <c r="AJ68" i="17" s="1"/>
  <c r="AH69" i="17"/>
  <c r="AO164" i="17"/>
  <c r="AN165" i="17"/>
  <c r="AN164" i="17"/>
  <c r="U165" i="17"/>
  <c r="U164" i="17"/>
  <c r="AP165" i="17" l="1"/>
  <c r="AL160" i="17"/>
  <c r="J161" i="17"/>
  <c r="K161" i="17"/>
  <c r="O161" i="17" s="1"/>
  <c r="N161" i="17" s="1"/>
  <c r="F161" i="17"/>
  <c r="X161" i="17" s="1"/>
  <c r="E162" i="17" s="1"/>
  <c r="I162" i="17" s="1"/>
  <c r="J162" i="17" s="1"/>
  <c r="N160" i="17"/>
  <c r="P160" i="17" s="1"/>
  <c r="V161" i="17"/>
  <c r="AH162" i="17" s="1"/>
  <c r="W160" i="17"/>
  <c r="AH161" i="17"/>
  <c r="AI161" i="17" s="1"/>
  <c r="AJ161" i="17" s="1"/>
  <c r="L69" i="17"/>
  <c r="V69" i="17" s="1"/>
  <c r="AH70" i="17" s="1"/>
  <c r="K69" i="17"/>
  <c r="O69" i="17" s="1"/>
  <c r="N69" i="17" s="1"/>
  <c r="F69" i="17"/>
  <c r="G69" i="17" s="1"/>
  <c r="AI69" i="17"/>
  <c r="AJ69" i="17" s="1"/>
  <c r="N68" i="17"/>
  <c r="P68" i="17" s="1"/>
  <c r="AQ68" i="17" s="1"/>
  <c r="AK68" i="17"/>
  <c r="AL68" i="17" s="1"/>
  <c r="AQ67" i="17"/>
  <c r="T73" i="17"/>
  <c r="Q67" i="17"/>
  <c r="AP164" i="17"/>
  <c r="L162" i="17" l="1"/>
  <c r="V162" i="17" s="1"/>
  <c r="AH163" i="17" s="1"/>
  <c r="P161" i="17"/>
  <c r="T167" i="17" s="1"/>
  <c r="K162" i="17"/>
  <c r="O162" i="17" s="1"/>
  <c r="R168" i="17" s="1"/>
  <c r="F162" i="17"/>
  <c r="X162" i="17" s="1"/>
  <c r="E163" i="17" s="1"/>
  <c r="F163" i="17" s="1"/>
  <c r="Z163" i="17" s="1"/>
  <c r="G161" i="17"/>
  <c r="Z161" i="17"/>
  <c r="AD161" i="17" s="1"/>
  <c r="AK161" i="17" s="1"/>
  <c r="AL161" i="17" s="1"/>
  <c r="W161" i="17"/>
  <c r="X69" i="17"/>
  <c r="E70" i="17" s="1"/>
  <c r="I70" i="17" s="1"/>
  <c r="W69" i="17"/>
  <c r="Q68" i="17"/>
  <c r="AT68" i="17" s="1"/>
  <c r="Z69" i="17"/>
  <c r="AE69" i="17" s="1"/>
  <c r="AM75" i="17" s="1"/>
  <c r="T74" i="17"/>
  <c r="AO74" i="17" s="1"/>
  <c r="P69" i="17"/>
  <c r="T75" i="17" s="1"/>
  <c r="AS67" i="17"/>
  <c r="AT67" i="17"/>
  <c r="U73" i="17"/>
  <c r="AN73" i="17"/>
  <c r="AO73" i="17"/>
  <c r="AP73" i="17" s="1"/>
  <c r="R75" i="17"/>
  <c r="AQ160" i="17"/>
  <c r="Q160" i="17"/>
  <c r="T166" i="17"/>
  <c r="R167" i="17"/>
  <c r="S167" i="17" s="1"/>
  <c r="W162" i="17" l="1"/>
  <c r="F70" i="17"/>
  <c r="G70" i="17" s="1"/>
  <c r="G163" i="17"/>
  <c r="Q161" i="17"/>
  <c r="AQ161" i="17"/>
  <c r="I163" i="17"/>
  <c r="X163" i="17" s="1"/>
  <c r="E164" i="17" s="1"/>
  <c r="F164" i="17" s="1"/>
  <c r="G164" i="17" s="1"/>
  <c r="G162" i="17"/>
  <c r="Z162" i="17"/>
  <c r="AB162" i="17" s="1"/>
  <c r="AE161" i="17"/>
  <c r="AM167" i="17" s="1"/>
  <c r="AN167" i="17" s="1"/>
  <c r="AF161" i="17"/>
  <c r="AG162" i="17" s="1"/>
  <c r="AI162" i="17" s="1"/>
  <c r="AJ162" i="17" s="1"/>
  <c r="AA161" i="17"/>
  <c r="AB161" i="17"/>
  <c r="AC161" i="17" s="1"/>
  <c r="AS68" i="17"/>
  <c r="AU68" i="17" s="1"/>
  <c r="AA69" i="17"/>
  <c r="AR69" i="17" s="1"/>
  <c r="AN74" i="17"/>
  <c r="U75" i="17"/>
  <c r="AD69" i="17"/>
  <c r="AK69" i="17" s="1"/>
  <c r="AL69" i="17" s="1"/>
  <c r="AB69" i="17"/>
  <c r="AC69" i="17" s="1"/>
  <c r="AF69" i="17"/>
  <c r="AG70" i="17" s="1"/>
  <c r="AI70" i="17" s="1"/>
  <c r="AJ70" i="17" s="1"/>
  <c r="AN75" i="17"/>
  <c r="Q69" i="17"/>
  <c r="AS69" i="17" s="1"/>
  <c r="K70" i="17"/>
  <c r="O70" i="17" s="1"/>
  <c r="L70" i="17"/>
  <c r="V70" i="17" s="1"/>
  <c r="J70" i="17"/>
  <c r="AO75" i="17"/>
  <c r="AP75" i="17" s="1"/>
  <c r="AQ69" i="17"/>
  <c r="U74" i="17"/>
  <c r="AU67" i="17"/>
  <c r="AP74" i="17"/>
  <c r="S75" i="17"/>
  <c r="S168" i="17"/>
  <c r="AD163" i="17"/>
  <c r="AE163" i="17"/>
  <c r="AF163" i="17"/>
  <c r="AG164" i="17" s="1"/>
  <c r="U166" i="17"/>
  <c r="AO166" i="17"/>
  <c r="U167" i="17"/>
  <c r="AN166" i="17"/>
  <c r="N162" i="17"/>
  <c r="P162" i="17" s="1"/>
  <c r="Z70" i="17" l="1"/>
  <c r="AD70" i="17" s="1"/>
  <c r="AK70" i="17" s="1"/>
  <c r="X70" i="17"/>
  <c r="E71" i="17" s="1"/>
  <c r="F71" i="17" s="1"/>
  <c r="I164" i="17"/>
  <c r="K164" i="17" s="1"/>
  <c r="O164" i="17" s="1"/>
  <c r="N164" i="17" s="1"/>
  <c r="J163" i="17"/>
  <c r="L163" i="17"/>
  <c r="V163" i="17" s="1"/>
  <c r="AH164" i="17" s="1"/>
  <c r="AI164" i="17" s="1"/>
  <c r="AB163" i="17"/>
  <c r="K163" i="17"/>
  <c r="O163" i="17" s="1"/>
  <c r="R169" i="17" s="1"/>
  <c r="S169" i="17" s="1"/>
  <c r="AE162" i="17"/>
  <c r="AM168" i="17" s="1"/>
  <c r="AC162" i="17"/>
  <c r="AF162" i="17"/>
  <c r="AG163" i="17" s="1"/>
  <c r="AI163" i="17" s="1"/>
  <c r="AJ163" i="17" s="1"/>
  <c r="AD162" i="17"/>
  <c r="AK162" i="17" s="1"/>
  <c r="AL162" i="17" s="1"/>
  <c r="AA163" i="17"/>
  <c r="AA162" i="17"/>
  <c r="AC163" i="17"/>
  <c r="AO167" i="17"/>
  <c r="AP167" i="17" s="1"/>
  <c r="AT69" i="17"/>
  <c r="AU69" i="17" s="1"/>
  <c r="AL70" i="17"/>
  <c r="AH71" i="17"/>
  <c r="W70" i="17"/>
  <c r="N70" i="17"/>
  <c r="P70" i="17" s="1"/>
  <c r="R76" i="17"/>
  <c r="S76" i="17" s="1"/>
  <c r="Z164" i="17"/>
  <c r="AD164" i="17" s="1"/>
  <c r="AP166" i="17"/>
  <c r="T168" i="17"/>
  <c r="AQ162" i="17"/>
  <c r="Q162" i="17"/>
  <c r="I71" i="17" l="1"/>
  <c r="L71" i="17" s="1"/>
  <c r="AA70" i="17"/>
  <c r="AR70" i="17" s="1"/>
  <c r="AF70" i="17"/>
  <c r="AG71" i="17" s="1"/>
  <c r="AI71" i="17" s="1"/>
  <c r="AJ71" i="17" s="1"/>
  <c r="AE70" i="17"/>
  <c r="AM76" i="17" s="1"/>
  <c r="AB70" i="17"/>
  <c r="AC70" i="17" s="1"/>
  <c r="X164" i="17"/>
  <c r="E165" i="17" s="1"/>
  <c r="F165" i="17" s="1"/>
  <c r="L164" i="17"/>
  <c r="V164" i="17" s="1"/>
  <c r="AH165" i="17" s="1"/>
  <c r="J164" i="17"/>
  <c r="AB164" i="17"/>
  <c r="AC164" i="17" s="1"/>
  <c r="N163" i="17"/>
  <c r="P163" i="17" s="1"/>
  <c r="AQ163" i="17" s="1"/>
  <c r="W163" i="17"/>
  <c r="AM169" i="17"/>
  <c r="AJ164" i="17"/>
  <c r="AK163" i="17"/>
  <c r="AL163" i="17" s="1"/>
  <c r="Z71" i="17"/>
  <c r="G71" i="17"/>
  <c r="J71" i="17"/>
  <c r="Q70" i="17"/>
  <c r="T76" i="17"/>
  <c r="AQ70" i="17"/>
  <c r="AA164" i="17"/>
  <c r="AE164" i="17"/>
  <c r="AM170" i="17" s="1"/>
  <c r="AF164" i="17"/>
  <c r="AG165" i="17" s="1"/>
  <c r="AK164" i="17"/>
  <c r="AO168" i="17"/>
  <c r="AP168" i="17" s="1"/>
  <c r="U168" i="17"/>
  <c r="AN168" i="17"/>
  <c r="R170" i="17"/>
  <c r="X71" i="17" l="1"/>
  <c r="E72" i="17" s="1"/>
  <c r="F72" i="17" s="1"/>
  <c r="K71" i="17"/>
  <c r="O71" i="17" s="1"/>
  <c r="R77" i="17" s="1"/>
  <c r="S77" i="17" s="1"/>
  <c r="I165" i="17"/>
  <c r="K165" i="17" s="1"/>
  <c r="O165" i="17" s="1"/>
  <c r="R171" i="17" s="1"/>
  <c r="S171" i="17" s="1"/>
  <c r="T169" i="17"/>
  <c r="AN169" i="17" s="1"/>
  <c r="Q163" i="17"/>
  <c r="P164" i="17"/>
  <c r="Q164" i="17" s="1"/>
  <c r="W164" i="17"/>
  <c r="AI165" i="17"/>
  <c r="AJ165" i="17" s="1"/>
  <c r="AL164" i="17"/>
  <c r="U76" i="17"/>
  <c r="AN76" i="17"/>
  <c r="AO76" i="17"/>
  <c r="AP76" i="17" s="1"/>
  <c r="V71" i="17"/>
  <c r="AS70" i="17"/>
  <c r="AT70" i="17"/>
  <c r="AE71" i="17"/>
  <c r="AF71" i="17"/>
  <c r="AG72" i="17" s="1"/>
  <c r="AB71" i="17"/>
  <c r="AA71" i="17"/>
  <c r="AD71" i="17"/>
  <c r="AK71" i="17" s="1"/>
  <c r="AL71" i="17" s="1"/>
  <c r="I72" i="17"/>
  <c r="G165" i="17"/>
  <c r="Z165" i="17"/>
  <c r="S170" i="17"/>
  <c r="J165" i="17" l="1"/>
  <c r="L165" i="17"/>
  <c r="V165" i="17" s="1"/>
  <c r="W165" i="17" s="1"/>
  <c r="X165" i="17"/>
  <c r="E166" i="17" s="1"/>
  <c r="I166" i="17" s="1"/>
  <c r="U169" i="17"/>
  <c r="AO169" i="17"/>
  <c r="AP169" i="17" s="1"/>
  <c r="AQ164" i="17"/>
  <c r="T170" i="17"/>
  <c r="N71" i="17"/>
  <c r="P71" i="17" s="1"/>
  <c r="AQ71" i="17" s="1"/>
  <c r="N165" i="17"/>
  <c r="P165" i="17" s="1"/>
  <c r="T171" i="17" s="1"/>
  <c r="L72" i="17"/>
  <c r="V72" i="17" s="1"/>
  <c r="W72" i="17" s="1"/>
  <c r="K72" i="17"/>
  <c r="J72" i="17"/>
  <c r="AM77" i="17"/>
  <c r="W71" i="17"/>
  <c r="AR71" i="17" s="1"/>
  <c r="AH72" i="17"/>
  <c r="AI72" i="17" s="1"/>
  <c r="X72" i="17"/>
  <c r="E73" i="17" s="1"/>
  <c r="AC71" i="17"/>
  <c r="AU70" i="17"/>
  <c r="Z72" i="17"/>
  <c r="AD72" i="17" s="1"/>
  <c r="G72" i="17"/>
  <c r="AD165" i="17"/>
  <c r="AK165" i="17" s="1"/>
  <c r="AL165" i="17" s="1"/>
  <c r="AF165" i="17"/>
  <c r="AG166" i="17" s="1"/>
  <c r="AE165" i="17"/>
  <c r="AM171" i="17" s="1"/>
  <c r="AA165" i="17"/>
  <c r="AB165" i="17"/>
  <c r="AC165" i="17" s="1"/>
  <c r="T77" i="17" l="1"/>
  <c r="AN77" i="17" s="1"/>
  <c r="F166" i="17"/>
  <c r="X166" i="17" s="1"/>
  <c r="E167" i="17" s="1"/>
  <c r="AH166" i="17"/>
  <c r="AI166" i="17" s="1"/>
  <c r="U170" i="17"/>
  <c r="AO170" i="17"/>
  <c r="AP170" i="17" s="1"/>
  <c r="AN170" i="17"/>
  <c r="U171" i="17"/>
  <c r="Q71" i="17"/>
  <c r="AT71" i="17" s="1"/>
  <c r="AN171" i="17"/>
  <c r="AQ165" i="17"/>
  <c r="Q165" i="17"/>
  <c r="AJ72" i="17"/>
  <c r="AK72" i="17"/>
  <c r="O72" i="17"/>
  <c r="R78" i="17" s="1"/>
  <c r="S78" i="17" s="1"/>
  <c r="AH73" i="17"/>
  <c r="AE72" i="17"/>
  <c r="AM78" i="17" s="1"/>
  <c r="AF72" i="17"/>
  <c r="AG73" i="17" s="1"/>
  <c r="AA72" i="17"/>
  <c r="AR72" i="17" s="1"/>
  <c r="I73" i="17"/>
  <c r="F73" i="17"/>
  <c r="AB72" i="17"/>
  <c r="AC72" i="17" s="1"/>
  <c r="AO171" i="17"/>
  <c r="J166" i="17"/>
  <c r="K166" i="17"/>
  <c r="L166" i="17"/>
  <c r="V166" i="17" s="1"/>
  <c r="U77" i="17" l="1"/>
  <c r="AO77" i="17"/>
  <c r="AP77" i="17" s="1"/>
  <c r="Z166" i="17"/>
  <c r="AD166" i="17" s="1"/>
  <c r="AK166" i="17" s="1"/>
  <c r="AL166" i="17" s="1"/>
  <c r="G166" i="17"/>
  <c r="AP171" i="17"/>
  <c r="AS71" i="17"/>
  <c r="AU71" i="17" s="1"/>
  <c r="K73" i="17"/>
  <c r="L73" i="17"/>
  <c r="V73" i="17" s="1"/>
  <c r="J73" i="17"/>
  <c r="AL72" i="17"/>
  <c r="X73" i="17"/>
  <c r="E74" i="17" s="1"/>
  <c r="Z73" i="17"/>
  <c r="G73" i="17"/>
  <c r="AI73" i="17"/>
  <c r="AJ73" i="17" s="1"/>
  <c r="N72" i="17"/>
  <c r="P72" i="17" s="1"/>
  <c r="AH167" i="17"/>
  <c r="W166" i="17"/>
  <c r="AJ166" i="17"/>
  <c r="O166" i="17"/>
  <c r="R172" i="17" s="1"/>
  <c r="S172" i="17" s="1"/>
  <c r="I167" i="17"/>
  <c r="F167" i="17"/>
  <c r="AF166" i="17" l="1"/>
  <c r="AG167" i="17" s="1"/>
  <c r="AI167" i="17" s="1"/>
  <c r="AJ167" i="17" s="1"/>
  <c r="AE166" i="17"/>
  <c r="AM172" i="17" s="1"/>
  <c r="AA166" i="17"/>
  <c r="AB166" i="17"/>
  <c r="AC166" i="17" s="1"/>
  <c r="T78" i="17"/>
  <c r="AQ72" i="17"/>
  <c r="Q72" i="17"/>
  <c r="AD73" i="17"/>
  <c r="AK73" i="17" s="1"/>
  <c r="AL73" i="17" s="1"/>
  <c r="AF73" i="17"/>
  <c r="AG74" i="17" s="1"/>
  <c r="AE73" i="17"/>
  <c r="AM79" i="17" s="1"/>
  <c r="AA73" i="17"/>
  <c r="AH74" i="17"/>
  <c r="W73" i="17"/>
  <c r="F74" i="17"/>
  <c r="I74" i="17"/>
  <c r="O73" i="17"/>
  <c r="N73" i="17" s="1"/>
  <c r="P73" i="17" s="1"/>
  <c r="AB73" i="17"/>
  <c r="AC73" i="17" s="1"/>
  <c r="X167" i="17"/>
  <c r="E168" i="17" s="1"/>
  <c r="F168" i="17" s="1"/>
  <c r="J167" i="17"/>
  <c r="K167" i="17"/>
  <c r="L167" i="17"/>
  <c r="V167" i="17" s="1"/>
  <c r="N166" i="17"/>
  <c r="P166" i="17" s="1"/>
  <c r="Z167" i="17"/>
  <c r="AD167" i="17" s="1"/>
  <c r="G167" i="17"/>
  <c r="AK167" i="17" l="1"/>
  <c r="AL167" i="17" s="1"/>
  <c r="I168" i="17"/>
  <c r="J168" i="17" s="1"/>
  <c r="AQ73" i="17"/>
  <c r="Q73" i="17"/>
  <c r="AT73" i="17" s="1"/>
  <c r="T79" i="17"/>
  <c r="U79" i="17" s="1"/>
  <c r="AR73" i="17"/>
  <c r="X74" i="17"/>
  <c r="E75" i="17" s="1"/>
  <c r="K74" i="17"/>
  <c r="L74" i="17"/>
  <c r="J74" i="17"/>
  <c r="U78" i="17"/>
  <c r="AN78" i="17"/>
  <c r="AO78" i="17"/>
  <c r="Z74" i="17"/>
  <c r="AD74" i="17" s="1"/>
  <c r="G74" i="17"/>
  <c r="AI74" i="17"/>
  <c r="AT72" i="17"/>
  <c r="AS72" i="17"/>
  <c r="R79" i="17"/>
  <c r="S79" i="17" s="1"/>
  <c r="G168" i="17"/>
  <c r="AF167" i="17"/>
  <c r="AG168" i="17" s="1"/>
  <c r="AE167" i="17"/>
  <c r="AM173" i="17" s="1"/>
  <c r="AA167" i="17"/>
  <c r="Z168" i="17"/>
  <c r="AA168" i="17" s="1"/>
  <c r="AB167" i="17"/>
  <c r="AC167" i="17" s="1"/>
  <c r="T172" i="17"/>
  <c r="AQ166" i="17"/>
  <c r="Q166" i="17"/>
  <c r="AH168" i="17"/>
  <c r="W167" i="17"/>
  <c r="O167" i="17"/>
  <c r="R173" i="17" s="1"/>
  <c r="S173" i="17" s="1"/>
  <c r="K168" i="17" l="1"/>
  <c r="O168" i="17" s="1"/>
  <c r="R174" i="17" s="1"/>
  <c r="S174" i="17" s="1"/>
  <c r="L168" i="17"/>
  <c r="V168" i="17" s="1"/>
  <c r="AH169" i="17" s="1"/>
  <c r="X168" i="17"/>
  <c r="E169" i="17" s="1"/>
  <c r="I169" i="17" s="1"/>
  <c r="K169" i="17" s="1"/>
  <c r="O169" i="17" s="1"/>
  <c r="AN79" i="17"/>
  <c r="AU72" i="17"/>
  <c r="AB74" i="17"/>
  <c r="AC74" i="17" s="1"/>
  <c r="AS73" i="17"/>
  <c r="AU73" i="17" s="1"/>
  <c r="AJ74" i="17"/>
  <c r="AK74" i="17"/>
  <c r="AL74" i="17" s="1"/>
  <c r="AP78" i="17"/>
  <c r="I75" i="17"/>
  <c r="F75" i="17"/>
  <c r="AF74" i="17"/>
  <c r="AG75" i="17" s="1"/>
  <c r="AE74" i="17"/>
  <c r="AM80" i="17" s="1"/>
  <c r="AA74" i="17"/>
  <c r="V74" i="17"/>
  <c r="AO79" i="17"/>
  <c r="O74" i="17"/>
  <c r="N74" i="17" s="1"/>
  <c r="AB168" i="17"/>
  <c r="AC168" i="17" s="1"/>
  <c r="AN172" i="17"/>
  <c r="U172" i="17"/>
  <c r="AO172" i="17"/>
  <c r="AP172" i="17" s="1"/>
  <c r="AE168" i="17"/>
  <c r="AM174" i="17" s="1"/>
  <c r="AF168" i="17"/>
  <c r="AG169" i="17" s="1"/>
  <c r="N167" i="17"/>
  <c r="P167" i="17" s="1"/>
  <c r="AD168" i="17"/>
  <c r="AI168" i="17"/>
  <c r="AS165" i="17"/>
  <c r="AS161" i="17"/>
  <c r="AS156" i="17"/>
  <c r="AS153" i="17"/>
  <c r="AS149" i="17"/>
  <c r="AS145" i="17"/>
  <c r="AS142" i="17"/>
  <c r="AS136" i="17"/>
  <c r="AS132" i="17"/>
  <c r="AS129" i="17"/>
  <c r="AS119" i="17"/>
  <c r="AS123" i="17"/>
  <c r="AS163" i="17"/>
  <c r="AS160" i="17"/>
  <c r="AS157" i="17"/>
  <c r="AS152" i="17"/>
  <c r="AS147" i="17"/>
  <c r="AS144" i="17"/>
  <c r="AS140" i="17"/>
  <c r="AS137" i="17"/>
  <c r="AS133" i="17"/>
  <c r="AS128" i="17"/>
  <c r="AS118" i="17"/>
  <c r="AS122" i="17"/>
  <c r="AS164" i="17"/>
  <c r="AS159" i="17"/>
  <c r="AS155" i="17"/>
  <c r="AS150" i="17"/>
  <c r="AS148" i="17"/>
  <c r="AS143" i="17"/>
  <c r="AS138" i="17"/>
  <c r="AS135" i="17"/>
  <c r="AS131" i="17"/>
  <c r="AS127" i="17"/>
  <c r="AS121" i="17"/>
  <c r="AS120" i="17"/>
  <c r="AS166" i="17"/>
  <c r="AS162" i="17"/>
  <c r="AS158" i="17"/>
  <c r="AS154" i="17"/>
  <c r="AS151" i="17"/>
  <c r="AS146" i="17"/>
  <c r="AS141" i="17"/>
  <c r="AS139" i="17"/>
  <c r="AS134" i="17"/>
  <c r="AS130" i="17"/>
  <c r="AS125" i="17"/>
  <c r="AS124" i="17"/>
  <c r="AS126" i="17"/>
  <c r="F169" i="17" l="1"/>
  <c r="Z169" i="17" s="1"/>
  <c r="AA169" i="17" s="1"/>
  <c r="J169" i="17"/>
  <c r="L169" i="17"/>
  <c r="V169" i="17" s="1"/>
  <c r="AH170" i="17" s="1"/>
  <c r="W168" i="17"/>
  <c r="AR168" i="17" s="1"/>
  <c r="AI169" i="17"/>
  <c r="AJ169" i="17" s="1"/>
  <c r="X75" i="17"/>
  <c r="E76" i="17" s="1"/>
  <c r="F76" i="17" s="1"/>
  <c r="G76" i="17" s="1"/>
  <c r="AP79" i="17"/>
  <c r="G75" i="17"/>
  <c r="Z75" i="17"/>
  <c r="AD75" i="17" s="1"/>
  <c r="P74" i="17"/>
  <c r="L75" i="17"/>
  <c r="V75" i="17" s="1"/>
  <c r="K75" i="17"/>
  <c r="J75" i="17"/>
  <c r="R80" i="17"/>
  <c r="S80" i="17" s="1"/>
  <c r="AH75" i="17"/>
  <c r="AI75" i="17" s="1"/>
  <c r="AJ75" i="17" s="1"/>
  <c r="W74" i="17"/>
  <c r="AR74" i="17" s="1"/>
  <c r="G169" i="17"/>
  <c r="N168" i="17"/>
  <c r="P168" i="17" s="1"/>
  <c r="AQ168" i="17" s="1"/>
  <c r="R175" i="17"/>
  <c r="S175" i="17" s="1"/>
  <c r="N169" i="17"/>
  <c r="AQ167" i="17"/>
  <c r="T173" i="17"/>
  <c r="Q167" i="17"/>
  <c r="AS167" i="17" s="1"/>
  <c r="AJ168" i="17"/>
  <c r="AK168" i="17"/>
  <c r="AL168" i="17" s="1"/>
  <c r="AT130" i="17"/>
  <c r="AU130" i="17" s="1"/>
  <c r="AT118" i="17"/>
  <c r="AU118" i="17" s="1"/>
  <c r="AT121" i="17"/>
  <c r="AU121" i="17" s="1"/>
  <c r="AT122" i="17"/>
  <c r="AU122" i="17" s="1"/>
  <c r="AT125" i="17"/>
  <c r="AU125" i="17" s="1"/>
  <c r="AT120" i="17"/>
  <c r="AU120" i="17" s="1"/>
  <c r="AT128" i="17"/>
  <c r="AU128" i="17" s="1"/>
  <c r="AT127" i="17"/>
  <c r="AU127" i="17" s="1"/>
  <c r="AT124" i="17"/>
  <c r="AU124" i="17" s="1"/>
  <c r="AT129" i="17"/>
  <c r="AU129" i="17" s="1"/>
  <c r="AT119" i="17"/>
  <c r="AU119" i="17" s="1"/>
  <c r="AT123" i="17"/>
  <c r="AU123" i="17" s="1"/>
  <c r="AT131" i="17"/>
  <c r="AU131" i="17" s="1"/>
  <c r="AT126" i="17"/>
  <c r="AU126" i="17" s="1"/>
  <c r="AT132" i="17"/>
  <c r="AU132" i="17" s="1"/>
  <c r="AT133" i="17"/>
  <c r="AU133" i="17" s="1"/>
  <c r="AT134" i="17"/>
  <c r="AU134" i="17" s="1"/>
  <c r="AT135" i="17"/>
  <c r="AU135" i="17" s="1"/>
  <c r="AT136" i="17"/>
  <c r="AU136" i="17" s="1"/>
  <c r="AT137" i="17"/>
  <c r="AU137" i="17" s="1"/>
  <c r="AT138" i="17"/>
  <c r="AU138" i="17" s="1"/>
  <c r="AT139" i="17"/>
  <c r="AU139" i="17" s="1"/>
  <c r="AT141" i="17"/>
  <c r="AU141" i="17" s="1"/>
  <c r="AT142" i="17"/>
  <c r="AU142" i="17" s="1"/>
  <c r="AT143" i="17"/>
  <c r="AU143" i="17" s="1"/>
  <c r="AT140" i="17"/>
  <c r="AU140" i="17" s="1"/>
  <c r="AT145" i="17"/>
  <c r="AU145" i="17" s="1"/>
  <c r="AT144" i="17"/>
  <c r="AU144" i="17" s="1"/>
  <c r="AT146" i="17"/>
  <c r="AU146" i="17" s="1"/>
  <c r="AT152" i="17"/>
  <c r="AU152" i="17" s="1"/>
  <c r="AT148" i="17"/>
  <c r="AU148" i="17" s="1"/>
  <c r="AT150" i="17"/>
  <c r="AU150" i="17" s="1"/>
  <c r="AT147" i="17"/>
  <c r="AU147" i="17" s="1"/>
  <c r="AT149" i="17"/>
  <c r="AU149" i="17" s="1"/>
  <c r="AT151" i="17"/>
  <c r="AU151" i="17" s="1"/>
  <c r="AT153" i="17"/>
  <c r="AU153" i="17" s="1"/>
  <c r="AT154" i="17"/>
  <c r="AU154" i="17" s="1"/>
  <c r="AT155" i="17"/>
  <c r="AU155" i="17" s="1"/>
  <c r="AT157" i="17"/>
  <c r="AU157" i="17" s="1"/>
  <c r="AT158" i="17"/>
  <c r="AU158" i="17" s="1"/>
  <c r="AT156" i="17"/>
  <c r="AU156" i="17" s="1"/>
  <c r="AT160" i="17"/>
  <c r="AU160" i="17" s="1"/>
  <c r="AT162" i="17"/>
  <c r="AU162" i="17" s="1"/>
  <c r="AT159" i="17"/>
  <c r="AU159" i="17" s="1"/>
  <c r="AT163" i="17"/>
  <c r="AU163" i="17" s="1"/>
  <c r="AT161" i="17"/>
  <c r="AU161" i="17" s="1"/>
  <c r="AT165" i="17"/>
  <c r="AU165" i="17" s="1"/>
  <c r="AT164" i="17"/>
  <c r="AU164" i="17" s="1"/>
  <c r="AT166" i="17"/>
  <c r="AU166" i="17" s="1"/>
  <c r="AR126" i="17"/>
  <c r="AR124" i="17"/>
  <c r="AR121" i="17"/>
  <c r="AR131" i="17"/>
  <c r="AR120" i="17"/>
  <c r="AR132" i="17"/>
  <c r="AR122" i="17"/>
  <c r="AR118" i="17"/>
  <c r="AR133" i="17"/>
  <c r="AR130" i="17"/>
  <c r="AR127" i="17"/>
  <c r="AR129" i="17"/>
  <c r="AR128" i="17"/>
  <c r="AR123" i="17"/>
  <c r="AR119" i="17"/>
  <c r="AR125" i="17"/>
  <c r="AR134" i="17"/>
  <c r="AR136" i="17"/>
  <c r="AR135" i="17"/>
  <c r="AR137" i="17"/>
  <c r="AR138" i="17"/>
  <c r="AR139" i="17"/>
  <c r="AR140" i="17"/>
  <c r="AR141" i="17"/>
  <c r="AR143" i="17"/>
  <c r="AR142" i="17"/>
  <c r="AR144" i="17"/>
  <c r="AR145" i="17"/>
  <c r="AR146" i="17"/>
  <c r="AR150" i="17"/>
  <c r="AR147" i="17"/>
  <c r="AR148" i="17"/>
  <c r="AR151" i="17"/>
  <c r="AR149" i="17"/>
  <c r="AR152" i="17"/>
  <c r="AR154" i="17"/>
  <c r="AR153" i="17"/>
  <c r="AR155" i="17"/>
  <c r="AR158" i="17"/>
  <c r="AR156" i="17"/>
  <c r="AR157" i="17"/>
  <c r="AR160" i="17"/>
  <c r="AR159" i="17"/>
  <c r="AR161" i="17"/>
  <c r="AR162" i="17"/>
  <c r="AR163" i="17"/>
  <c r="AR165" i="17"/>
  <c r="AR164" i="17"/>
  <c r="AR167" i="17"/>
  <c r="AR166" i="17"/>
  <c r="AD169" i="17" l="1"/>
  <c r="AK169" i="17" s="1"/>
  <c r="AL169" i="17" s="1"/>
  <c r="AE169" i="17"/>
  <c r="AM175" i="17" s="1"/>
  <c r="AB169" i="17"/>
  <c r="AC169" i="17" s="1"/>
  <c r="AF169" i="17"/>
  <c r="AG170" i="17" s="1"/>
  <c r="AI170" i="17" s="1"/>
  <c r="AJ170" i="17" s="1"/>
  <c r="X169" i="17"/>
  <c r="E170" i="17" s="1"/>
  <c r="F170" i="17" s="1"/>
  <c r="Z170" i="17" s="1"/>
  <c r="W169" i="17"/>
  <c r="AR169" i="17" s="1"/>
  <c r="I76" i="17"/>
  <c r="L76" i="17" s="1"/>
  <c r="V76" i="17" s="1"/>
  <c r="AB75" i="17"/>
  <c r="AC75" i="17" s="1"/>
  <c r="AQ74" i="17"/>
  <c r="Q74" i="17"/>
  <c r="T80" i="17"/>
  <c r="O75" i="17"/>
  <c r="R81" i="17" s="1"/>
  <c r="S81" i="17" s="1"/>
  <c r="W75" i="17"/>
  <c r="AH76" i="17"/>
  <c r="AK75" i="17"/>
  <c r="AL75" i="17" s="1"/>
  <c r="AE75" i="17"/>
  <c r="AM81" i="17" s="1"/>
  <c r="AF75" i="17"/>
  <c r="AG76" i="17" s="1"/>
  <c r="AA75" i="17"/>
  <c r="Z76" i="17"/>
  <c r="AA76" i="17" s="1"/>
  <c r="P169" i="17"/>
  <c r="Q169" i="17" s="1"/>
  <c r="Q168" i="17"/>
  <c r="AS168" i="17" s="1"/>
  <c r="AT167" i="17"/>
  <c r="AU167" i="17" s="1"/>
  <c r="T174" i="17"/>
  <c r="AO174" i="17" s="1"/>
  <c r="AN173" i="17"/>
  <c r="U173" i="17"/>
  <c r="AO173" i="17"/>
  <c r="AP173" i="17" s="1"/>
  <c r="G170" i="17" l="1"/>
  <c r="I170" i="17"/>
  <c r="K170" i="17" s="1"/>
  <c r="O170" i="17" s="1"/>
  <c r="R176" i="17" s="1"/>
  <c r="S176" i="17" s="1"/>
  <c r="K76" i="17"/>
  <c r="O76" i="17" s="1"/>
  <c r="R82" i="17" s="1"/>
  <c r="S82" i="17" s="1"/>
  <c r="AI76" i="17"/>
  <c r="AJ76" i="17" s="1"/>
  <c r="J76" i="17"/>
  <c r="X76" i="17"/>
  <c r="E77" i="17" s="1"/>
  <c r="F77" i="17" s="1"/>
  <c r="AD76" i="17"/>
  <c r="AB76" i="17"/>
  <c r="AC76" i="17" s="1"/>
  <c r="N75" i="17"/>
  <c r="P75" i="17" s="1"/>
  <c r="Q75" i="17" s="1"/>
  <c r="AR75" i="17"/>
  <c r="AO80" i="17"/>
  <c r="AP80" i="17" s="1"/>
  <c r="U80" i="17"/>
  <c r="AN80" i="17"/>
  <c r="AH77" i="17"/>
  <c r="W76" i="17"/>
  <c r="AR76" i="17" s="1"/>
  <c r="AE76" i="17"/>
  <c r="AM82" i="17" s="1"/>
  <c r="AF76" i="17"/>
  <c r="AG77" i="17" s="1"/>
  <c r="AT74" i="17"/>
  <c r="AS74" i="17"/>
  <c r="T175" i="17"/>
  <c r="U175" i="17" s="1"/>
  <c r="AQ169" i="17"/>
  <c r="AT168" i="17"/>
  <c r="AU168" i="17" s="1"/>
  <c r="U174" i="17"/>
  <c r="AN174" i="17"/>
  <c r="AS169" i="17"/>
  <c r="AT169" i="17"/>
  <c r="AD170" i="17"/>
  <c r="AK170" i="17" s="1"/>
  <c r="AL170" i="17" s="1"/>
  <c r="AE170" i="17"/>
  <c r="AM176" i="17" s="1"/>
  <c r="AA170" i="17"/>
  <c r="AF170" i="17"/>
  <c r="AG171" i="17" s="1"/>
  <c r="AP174" i="17"/>
  <c r="J170" i="17" l="1"/>
  <c r="N170" i="17"/>
  <c r="P170" i="17" s="1"/>
  <c r="T176" i="17" s="1"/>
  <c r="AO176" i="17" s="1"/>
  <c r="X170" i="17"/>
  <c r="E171" i="17" s="1"/>
  <c r="F171" i="17" s="1"/>
  <c r="Z171" i="17" s="1"/>
  <c r="L170" i="17"/>
  <c r="V170" i="17" s="1"/>
  <c r="AH171" i="17" s="1"/>
  <c r="AB170" i="17"/>
  <c r="AC170" i="17" s="1"/>
  <c r="AK76" i="17"/>
  <c r="AL76" i="17" s="1"/>
  <c r="I77" i="17"/>
  <c r="X77" i="17" s="1"/>
  <c r="E78" i="17" s="1"/>
  <c r="AI77" i="17"/>
  <c r="AJ77" i="17" s="1"/>
  <c r="AQ75" i="17"/>
  <c r="T81" i="17"/>
  <c r="AU74" i="17"/>
  <c r="AS75" i="17"/>
  <c r="AT75" i="17"/>
  <c r="N76" i="17"/>
  <c r="P76" i="17" s="1"/>
  <c r="Z77" i="17"/>
  <c r="G77" i="17"/>
  <c r="AN175" i="17"/>
  <c r="AO175" i="17"/>
  <c r="AP175" i="17" s="1"/>
  <c r="AU169" i="17"/>
  <c r="AI171" i="17"/>
  <c r="AJ171" i="17" s="1"/>
  <c r="U176" i="17" l="1"/>
  <c r="W170" i="17"/>
  <c r="AR170" i="17" s="1"/>
  <c r="AN176" i="17"/>
  <c r="Q170" i="17"/>
  <c r="AS170" i="17" s="1"/>
  <c r="AQ170" i="17"/>
  <c r="G171" i="17"/>
  <c r="I171" i="17"/>
  <c r="K171" i="17" s="1"/>
  <c r="O171" i="17" s="1"/>
  <c r="R177" i="17" s="1"/>
  <c r="S177" i="17" s="1"/>
  <c r="K77" i="17"/>
  <c r="O77" i="17" s="1"/>
  <c r="N77" i="17" s="1"/>
  <c r="P77" i="17" s="1"/>
  <c r="I78" i="17"/>
  <c r="J78" i="17" s="1"/>
  <c r="F78" i="17"/>
  <c r="Z78" i="17" s="1"/>
  <c r="AF78" i="17" s="1"/>
  <c r="AG79" i="17" s="1"/>
  <c r="J77" i="17"/>
  <c r="L77" i="17"/>
  <c r="V77" i="17" s="1"/>
  <c r="AH78" i="17" s="1"/>
  <c r="AU75" i="17"/>
  <c r="AN81" i="17"/>
  <c r="U81" i="17"/>
  <c r="AO81" i="17"/>
  <c r="AP81" i="17" s="1"/>
  <c r="AE77" i="17"/>
  <c r="AF77" i="17"/>
  <c r="AG78" i="17" s="1"/>
  <c r="AA77" i="17"/>
  <c r="AQ76" i="17"/>
  <c r="Q76" i="17"/>
  <c r="T82" i="17"/>
  <c r="AB77" i="17"/>
  <c r="AC77" i="17" s="1"/>
  <c r="AD77" i="17"/>
  <c r="AK77" i="17" s="1"/>
  <c r="AL77" i="17" s="1"/>
  <c r="AP176" i="17"/>
  <c r="AD171" i="17"/>
  <c r="AK171" i="17" s="1"/>
  <c r="AL171" i="17" s="1"/>
  <c r="AA171" i="17"/>
  <c r="AF171" i="17"/>
  <c r="AG172" i="17" s="1"/>
  <c r="AE171" i="17"/>
  <c r="AM177" i="17" s="1"/>
  <c r="AT170" i="17" l="1"/>
  <c r="AU170" i="17" s="1"/>
  <c r="AB171" i="17"/>
  <c r="AC171" i="17" s="1"/>
  <c r="N171" i="17"/>
  <c r="P171" i="17" s="1"/>
  <c r="T177" i="17" s="1"/>
  <c r="AO177" i="17" s="1"/>
  <c r="AP177" i="17" s="1"/>
  <c r="X171" i="17"/>
  <c r="E172" i="17" s="1"/>
  <c r="F172" i="17" s="1"/>
  <c r="G172" i="17" s="1"/>
  <c r="J171" i="17"/>
  <c r="L171" i="17"/>
  <c r="V171" i="17" s="1"/>
  <c r="AH172" i="17" s="1"/>
  <c r="AI172" i="17" s="1"/>
  <c r="L78" i="17"/>
  <c r="V78" i="17" s="1"/>
  <c r="W78" i="17" s="1"/>
  <c r="W77" i="17"/>
  <c r="AR77" i="17" s="1"/>
  <c r="K78" i="17"/>
  <c r="O78" i="17" s="1"/>
  <c r="R84" i="17" s="1"/>
  <c r="G78" i="17"/>
  <c r="AE78" i="17"/>
  <c r="AM84" i="17" s="1"/>
  <c r="AA78" i="17"/>
  <c r="X78" i="17"/>
  <c r="E79" i="17" s="1"/>
  <c r="AD78" i="17"/>
  <c r="AB78" i="17"/>
  <c r="AC78" i="17" s="1"/>
  <c r="AQ77" i="17"/>
  <c r="T83" i="17"/>
  <c r="U83" i="17" s="1"/>
  <c r="AI78" i="17"/>
  <c r="AJ78" i="17" s="1"/>
  <c r="AN82" i="17"/>
  <c r="U82" i="17"/>
  <c r="AO82" i="17"/>
  <c r="AP82" i="17" s="1"/>
  <c r="R83" i="17"/>
  <c r="S83" i="17" s="1"/>
  <c r="AM83" i="17"/>
  <c r="AT76" i="17"/>
  <c r="AS76" i="17"/>
  <c r="W171" i="17"/>
  <c r="AR171" i="17" s="1"/>
  <c r="Q77" i="17"/>
  <c r="I172" i="17"/>
  <c r="K172" i="17" s="1"/>
  <c r="Z172" i="17" l="1"/>
  <c r="AB172" i="17" s="1"/>
  <c r="AC172" i="17" s="1"/>
  <c r="AQ171" i="17"/>
  <c r="Q171" i="17"/>
  <c r="AT171" i="17" s="1"/>
  <c r="AH79" i="17"/>
  <c r="AI79" i="17" s="1"/>
  <c r="AJ79" i="17" s="1"/>
  <c r="AR78" i="17"/>
  <c r="I79" i="17"/>
  <c r="F79" i="17"/>
  <c r="AK78" i="17"/>
  <c r="AL78" i="17" s="1"/>
  <c r="N78" i="17"/>
  <c r="P78" i="17" s="1"/>
  <c r="AQ78" i="17" s="1"/>
  <c r="AU76" i="17"/>
  <c r="AO83" i="17"/>
  <c r="AP83" i="17" s="1"/>
  <c r="AT77" i="17"/>
  <c r="AS77" i="17"/>
  <c r="S84" i="17"/>
  <c r="AN83" i="17"/>
  <c r="X172" i="17"/>
  <c r="E173" i="17" s="1"/>
  <c r="I173" i="17" s="1"/>
  <c r="K173" i="17" s="1"/>
  <c r="O173" i="17" s="1"/>
  <c r="L172" i="17"/>
  <c r="V172" i="17" s="1"/>
  <c r="W172" i="17" s="1"/>
  <c r="J172" i="17"/>
  <c r="AS171" i="17"/>
  <c r="U177" i="17"/>
  <c r="AN177" i="17"/>
  <c r="O172" i="17"/>
  <c r="R178" i="17" s="1"/>
  <c r="S178" i="17" s="1"/>
  <c r="AJ172" i="17"/>
  <c r="AA172" i="17" l="1"/>
  <c r="AE172" i="17"/>
  <c r="AM178" i="17" s="1"/>
  <c r="AF172" i="17"/>
  <c r="AG173" i="17" s="1"/>
  <c r="AD172" i="17"/>
  <c r="AK172" i="17" s="1"/>
  <c r="AL172" i="17" s="1"/>
  <c r="X79" i="17"/>
  <c r="E80" i="17" s="1"/>
  <c r="Z79" i="17"/>
  <c r="G79" i="17"/>
  <c r="L79" i="17"/>
  <c r="V79" i="17" s="1"/>
  <c r="J79" i="17"/>
  <c r="K79" i="17"/>
  <c r="O79" i="17" s="1"/>
  <c r="R85" i="17" s="1"/>
  <c r="S85" i="17" s="1"/>
  <c r="T84" i="17"/>
  <c r="AN84" i="17" s="1"/>
  <c r="Q78" i="17"/>
  <c r="AT78" i="17" s="1"/>
  <c r="AU77" i="17"/>
  <c r="AH173" i="17"/>
  <c r="J173" i="17"/>
  <c r="L173" i="17"/>
  <c r="V173" i="17" s="1"/>
  <c r="W173" i="17" s="1"/>
  <c r="F173" i="17"/>
  <c r="G173" i="17" s="1"/>
  <c r="R179" i="17"/>
  <c r="S179" i="17" s="1"/>
  <c r="N173" i="17"/>
  <c r="AU171" i="17"/>
  <c r="AR172" i="17"/>
  <c r="N172" i="17"/>
  <c r="P172" i="17" s="1"/>
  <c r="AI173" i="17" l="1"/>
  <c r="AJ173" i="17" s="1"/>
  <c r="U84" i="17"/>
  <c r="AO84" i="17"/>
  <c r="AB79" i="17"/>
  <c r="AC79" i="17" s="1"/>
  <c r="AA79" i="17"/>
  <c r="AE79" i="17"/>
  <c r="AM85" i="17" s="1"/>
  <c r="AF79" i="17"/>
  <c r="AG80" i="17" s="1"/>
  <c r="F80" i="17"/>
  <c r="I80" i="17"/>
  <c r="AD79" i="17"/>
  <c r="AK79" i="17" s="1"/>
  <c r="AL79" i="17" s="1"/>
  <c r="AH80" i="17"/>
  <c r="W79" i="17"/>
  <c r="N79" i="17"/>
  <c r="P79" i="17" s="1"/>
  <c r="T85" i="17" s="1"/>
  <c r="AS78" i="17"/>
  <c r="AU78" i="17" s="1"/>
  <c r="AP84" i="17"/>
  <c r="Z173" i="17"/>
  <c r="AF173" i="17" s="1"/>
  <c r="AG174" i="17" s="1"/>
  <c r="X173" i="17"/>
  <c r="E174" i="17" s="1"/>
  <c r="F174" i="17" s="1"/>
  <c r="G174" i="17" s="1"/>
  <c r="AH174" i="17"/>
  <c r="P173" i="17"/>
  <c r="AQ172" i="17"/>
  <c r="Q172" i="17"/>
  <c r="T178" i="17"/>
  <c r="J80" i="17" l="1"/>
  <c r="K80" i="17"/>
  <c r="O80" i="17" s="1"/>
  <c r="R86" i="17" s="1"/>
  <c r="S86" i="17" s="1"/>
  <c r="L80" i="17"/>
  <c r="V80" i="17" s="1"/>
  <c r="Q79" i="17"/>
  <c r="AT79" i="17" s="1"/>
  <c r="AR79" i="17"/>
  <c r="G80" i="17"/>
  <c r="Z80" i="17"/>
  <c r="AD80" i="17" s="1"/>
  <c r="X80" i="17"/>
  <c r="E81" i="17" s="1"/>
  <c r="AQ79" i="17"/>
  <c r="AI80" i="17"/>
  <c r="AJ80" i="17" s="1"/>
  <c r="U85" i="17"/>
  <c r="AO85" i="17"/>
  <c r="AP85" i="17" s="1"/>
  <c r="AN85" i="17"/>
  <c r="AQ173" i="17"/>
  <c r="AE173" i="17"/>
  <c r="AM179" i="17" s="1"/>
  <c r="AD173" i="17"/>
  <c r="AK173" i="17" s="1"/>
  <c r="AL173" i="17" s="1"/>
  <c r="Z174" i="17"/>
  <c r="AD174" i="17" s="1"/>
  <c r="I174" i="17"/>
  <c r="X174" i="17" s="1"/>
  <c r="E175" i="17" s="1"/>
  <c r="I175" i="17" s="1"/>
  <c r="L175" i="17" s="1"/>
  <c r="AA173" i="17"/>
  <c r="AR173" i="17" s="1"/>
  <c r="AB173" i="17"/>
  <c r="AC173" i="17" s="1"/>
  <c r="AI174" i="17"/>
  <c r="AJ174" i="17" s="1"/>
  <c r="T179" i="17"/>
  <c r="U179" i="17" s="1"/>
  <c r="Q173" i="17"/>
  <c r="AS173" i="17" s="1"/>
  <c r="U178" i="17"/>
  <c r="AN178" i="17"/>
  <c r="AO178" i="17"/>
  <c r="AP178" i="17" s="1"/>
  <c r="AT172" i="17"/>
  <c r="AS172" i="17"/>
  <c r="L174" i="17" l="1"/>
  <c r="V174" i="17" s="1"/>
  <c r="AH175" i="17" s="1"/>
  <c r="AK80" i="17"/>
  <c r="AL80" i="17" s="1"/>
  <c r="F175" i="17"/>
  <c r="Z175" i="17" s="1"/>
  <c r="AF175" i="17" s="1"/>
  <c r="AG176" i="17" s="1"/>
  <c r="AS79" i="17"/>
  <c r="AU79" i="17" s="1"/>
  <c r="J174" i="17"/>
  <c r="N80" i="17"/>
  <c r="P80" i="17" s="1"/>
  <c r="I81" i="17"/>
  <c r="F81" i="17"/>
  <c r="AF80" i="17"/>
  <c r="AG81" i="17" s="1"/>
  <c r="AE80" i="17"/>
  <c r="AM86" i="17" s="1"/>
  <c r="AA80" i="17"/>
  <c r="AB80" i="17"/>
  <c r="AC80" i="17" s="1"/>
  <c r="AH81" i="17"/>
  <c r="W80" i="17"/>
  <c r="K175" i="17"/>
  <c r="O175" i="17" s="1"/>
  <c r="N175" i="17" s="1"/>
  <c r="K174" i="17"/>
  <c r="O174" i="17" s="1"/>
  <c r="R180" i="17" s="1"/>
  <c r="S180" i="17" s="1"/>
  <c r="AA174" i="17"/>
  <c r="AB174" i="17"/>
  <c r="AC174" i="17" s="1"/>
  <c r="AF174" i="17"/>
  <c r="AG175" i="17" s="1"/>
  <c r="AE174" i="17"/>
  <c r="AM180" i="17" s="1"/>
  <c r="J175" i="17"/>
  <c r="AK174" i="17"/>
  <c r="AL174" i="17" s="1"/>
  <c r="AN179" i="17"/>
  <c r="AO179" i="17"/>
  <c r="AP179" i="17" s="1"/>
  <c r="AT173" i="17"/>
  <c r="AU173" i="17" s="1"/>
  <c r="AU172" i="17"/>
  <c r="W174" i="17" l="1"/>
  <c r="AR174" i="17" s="1"/>
  <c r="V175" i="17"/>
  <c r="AH176" i="17" s="1"/>
  <c r="AI176" i="17" s="1"/>
  <c r="AI175" i="17"/>
  <c r="AJ175" i="17" s="1"/>
  <c r="G175" i="17"/>
  <c r="AA175" i="17"/>
  <c r="AE175" i="17"/>
  <c r="AM181" i="17" s="1"/>
  <c r="AB175" i="17"/>
  <c r="AC175" i="17" s="1"/>
  <c r="X175" i="17"/>
  <c r="E176" i="17" s="1"/>
  <c r="F176" i="17" s="1"/>
  <c r="AD175" i="17"/>
  <c r="AR80" i="17"/>
  <c r="J81" i="17"/>
  <c r="L81" i="17"/>
  <c r="V81" i="17" s="1"/>
  <c r="K81" i="17"/>
  <c r="O81" i="17" s="1"/>
  <c r="N81" i="17" s="1"/>
  <c r="P81" i="17" s="1"/>
  <c r="AI81" i="17"/>
  <c r="AJ81" i="17" s="1"/>
  <c r="T86" i="17"/>
  <c r="AO86" i="17" s="1"/>
  <c r="AP86" i="17" s="1"/>
  <c r="AQ80" i="17"/>
  <c r="Q80" i="17"/>
  <c r="X81" i="17"/>
  <c r="E82" i="17" s="1"/>
  <c r="G81" i="17"/>
  <c r="Z81" i="17"/>
  <c r="AB81" i="17" s="1"/>
  <c r="AC81" i="17" s="1"/>
  <c r="N174" i="17"/>
  <c r="P174" i="17" s="1"/>
  <c r="Q174" i="17" s="1"/>
  <c r="AT174" i="17" s="1"/>
  <c r="R181" i="17"/>
  <c r="AJ176" i="17" l="1"/>
  <c r="AK175" i="17"/>
  <c r="AL175" i="17" s="1"/>
  <c r="W175" i="17"/>
  <c r="AR175" i="17" s="1"/>
  <c r="I176" i="17"/>
  <c r="L176" i="17" s="1"/>
  <c r="V176" i="17" s="1"/>
  <c r="I82" i="17"/>
  <c r="F82" i="17"/>
  <c r="AS80" i="17"/>
  <c r="AT80" i="17"/>
  <c r="AE81" i="17"/>
  <c r="AM87" i="17" s="1"/>
  <c r="AF81" i="17"/>
  <c r="AG82" i="17" s="1"/>
  <c r="AA81" i="17"/>
  <c r="AD81" i="17"/>
  <c r="AK81" i="17" s="1"/>
  <c r="AL81" i="17" s="1"/>
  <c r="R87" i="17"/>
  <c r="S87" i="17" s="1"/>
  <c r="U86" i="17"/>
  <c r="AN86" i="17"/>
  <c r="W81" i="17"/>
  <c r="AH82" i="17"/>
  <c r="T180" i="17"/>
  <c r="AO180" i="17" s="1"/>
  <c r="AP180" i="17" s="1"/>
  <c r="AS174" i="17"/>
  <c r="AU174" i="17" s="1"/>
  <c r="T87" i="17"/>
  <c r="Q81" i="17"/>
  <c r="AQ81" i="17"/>
  <c r="AQ174" i="17"/>
  <c r="P175" i="17"/>
  <c r="T181" i="17" s="1"/>
  <c r="G176" i="17"/>
  <c r="Z176" i="17"/>
  <c r="S181" i="17"/>
  <c r="J176" i="17" l="1"/>
  <c r="X176" i="17"/>
  <c r="E177" i="17" s="1"/>
  <c r="F177" i="17" s="1"/>
  <c r="K176" i="17"/>
  <c r="O176" i="17" s="1"/>
  <c r="R182" i="17" s="1"/>
  <c r="S182" i="17" s="1"/>
  <c r="AR81" i="17"/>
  <c r="G82" i="17"/>
  <c r="Z82" i="17"/>
  <c r="X82" i="17"/>
  <c r="E83" i="17" s="1"/>
  <c r="L82" i="17"/>
  <c r="V82" i="17" s="1"/>
  <c r="K82" i="17"/>
  <c r="O82" i="17" s="1"/>
  <c r="N82" i="17" s="1"/>
  <c r="P82" i="17" s="1"/>
  <c r="T88" i="17" s="1"/>
  <c r="U88" i="17" s="1"/>
  <c r="J82" i="17"/>
  <c r="AI82" i="17"/>
  <c r="AU80" i="17"/>
  <c r="U181" i="17"/>
  <c r="U180" i="17"/>
  <c r="AN180" i="17"/>
  <c r="U87" i="17"/>
  <c r="AN87" i="17"/>
  <c r="AO87" i="17"/>
  <c r="AS81" i="17"/>
  <c r="AT81" i="17"/>
  <c r="AN181" i="17"/>
  <c r="AO181" i="17"/>
  <c r="AP181" i="17" s="1"/>
  <c r="AQ175" i="17"/>
  <c r="Q175" i="17"/>
  <c r="AE176" i="17"/>
  <c r="AM182" i="17" s="1"/>
  <c r="AB176" i="17"/>
  <c r="AC176" i="17" s="1"/>
  <c r="AD176" i="17"/>
  <c r="AK176" i="17" s="1"/>
  <c r="AL176" i="17" s="1"/>
  <c r="AF176" i="17"/>
  <c r="AG177" i="17" s="1"/>
  <c r="AA176" i="17"/>
  <c r="W176" i="17"/>
  <c r="AH177" i="17"/>
  <c r="I177" i="17" l="1"/>
  <c r="X177" i="17" s="1"/>
  <c r="E178" i="17" s="1"/>
  <c r="F178" i="17" s="1"/>
  <c r="R88" i="17"/>
  <c r="S88" i="17" s="1"/>
  <c r="N176" i="17"/>
  <c r="P176" i="17" s="1"/>
  <c r="AQ176" i="17" s="1"/>
  <c r="Q82" i="17"/>
  <c r="AS82" i="17" s="1"/>
  <c r="AQ82" i="17"/>
  <c r="AD82" i="17"/>
  <c r="AK82" i="17" s="1"/>
  <c r="AL82" i="17" s="1"/>
  <c r="AA82" i="17"/>
  <c r="AF82" i="17"/>
  <c r="AG83" i="17" s="1"/>
  <c r="AE82" i="17"/>
  <c r="AM88" i="17" s="1"/>
  <c r="AN88" i="17" s="1"/>
  <c r="AJ82" i="17"/>
  <c r="AH83" i="17"/>
  <c r="W82" i="17"/>
  <c r="AB82" i="17"/>
  <c r="AC82" i="17" s="1"/>
  <c r="I83" i="17"/>
  <c r="F83" i="17"/>
  <c r="AU81" i="17"/>
  <c r="AP87" i="17"/>
  <c r="AS175" i="17"/>
  <c r="AT175" i="17"/>
  <c r="AI177" i="17"/>
  <c r="AJ177" i="17" s="1"/>
  <c r="Z177" i="17"/>
  <c r="G177" i="17"/>
  <c r="AR176" i="17"/>
  <c r="K177" i="17" l="1"/>
  <c r="O177" i="17" s="1"/>
  <c r="R183" i="17" s="1"/>
  <c r="S183" i="17" s="1"/>
  <c r="J177" i="17"/>
  <c r="T182" i="17"/>
  <c r="U182" i="17" s="1"/>
  <c r="AO88" i="17"/>
  <c r="AP88" i="17" s="1"/>
  <c r="L177" i="17"/>
  <c r="V177" i="17" s="1"/>
  <c r="AH178" i="17" s="1"/>
  <c r="Q176" i="17"/>
  <c r="AS176" i="17" s="1"/>
  <c r="AT82" i="17"/>
  <c r="AU82" i="17" s="1"/>
  <c r="J83" i="17"/>
  <c r="K83" i="17"/>
  <c r="L83" i="17"/>
  <c r="V83" i="17" s="1"/>
  <c r="AR82" i="17"/>
  <c r="G83" i="17"/>
  <c r="X83" i="17"/>
  <c r="E84" i="17" s="1"/>
  <c r="Z83" i="17"/>
  <c r="AI83" i="17"/>
  <c r="AJ83" i="17" s="1"/>
  <c r="AU175" i="17"/>
  <c r="Z178" i="17"/>
  <c r="AF178" i="17" s="1"/>
  <c r="G178" i="17"/>
  <c r="I178" i="17"/>
  <c r="J178" i="17" s="1"/>
  <c r="AD177" i="17"/>
  <c r="AK177" i="17" s="1"/>
  <c r="AL177" i="17" s="1"/>
  <c r="AF177" i="17"/>
  <c r="AG178" i="17" s="1"/>
  <c r="AB177" i="17"/>
  <c r="AC177" i="17" s="1"/>
  <c r="AE177" i="17"/>
  <c r="AM183" i="17" s="1"/>
  <c r="AA177" i="17"/>
  <c r="AN182" i="17" l="1"/>
  <c r="N177" i="17"/>
  <c r="P177" i="17" s="1"/>
  <c r="AQ177" i="17" s="1"/>
  <c r="AO182" i="17"/>
  <c r="AP182" i="17" s="1"/>
  <c r="AT176" i="17"/>
  <c r="AU176" i="17" s="1"/>
  <c r="AI178" i="17"/>
  <c r="AJ178" i="17" s="1"/>
  <c r="W177" i="17"/>
  <c r="AR177" i="17" s="1"/>
  <c r="AE83" i="17"/>
  <c r="AD83" i="17"/>
  <c r="AK83" i="17" s="1"/>
  <c r="AL83" i="17" s="1"/>
  <c r="AA83" i="17"/>
  <c r="AF83" i="17"/>
  <c r="AG84" i="17" s="1"/>
  <c r="AB83" i="17"/>
  <c r="AC83" i="17" s="1"/>
  <c r="F84" i="17"/>
  <c r="I84" i="17"/>
  <c r="W83" i="17"/>
  <c r="AH84" i="17"/>
  <c r="O83" i="17"/>
  <c r="N83" i="17" s="1"/>
  <c r="P83" i="17" s="1"/>
  <c r="K178" i="17"/>
  <c r="O178" i="17" s="1"/>
  <c r="R184" i="17" s="1"/>
  <c r="L178" i="17"/>
  <c r="V178" i="17" s="1"/>
  <c r="AH179" i="17" s="1"/>
  <c r="X178" i="17"/>
  <c r="E179" i="17" s="1"/>
  <c r="I179" i="17" s="1"/>
  <c r="K179" i="17" s="1"/>
  <c r="AE178" i="17"/>
  <c r="AM184" i="17" s="1"/>
  <c r="AD178" i="17"/>
  <c r="AK178" i="17" s="1"/>
  <c r="AL178" i="17" s="1"/>
  <c r="AB178" i="17"/>
  <c r="AC178" i="17" s="1"/>
  <c r="AA178" i="17"/>
  <c r="AG179" i="17"/>
  <c r="Q177" i="17" l="1"/>
  <c r="AS177" i="17" s="1"/>
  <c r="T183" i="17"/>
  <c r="AO183" i="17" s="1"/>
  <c r="AP183" i="17" s="1"/>
  <c r="AR83" i="17"/>
  <c r="X84" i="17"/>
  <c r="E85" i="17" s="1"/>
  <c r="I85" i="17" s="1"/>
  <c r="AQ83" i="17"/>
  <c r="T89" i="17"/>
  <c r="Q83" i="17"/>
  <c r="Z84" i="17"/>
  <c r="AD84" i="17" s="1"/>
  <c r="G84" i="17"/>
  <c r="R89" i="17"/>
  <c r="S89" i="17" s="1"/>
  <c r="K84" i="17"/>
  <c r="L84" i="17"/>
  <c r="V84" i="17" s="1"/>
  <c r="J84" i="17"/>
  <c r="AI84" i="17"/>
  <c r="AM89" i="17"/>
  <c r="N178" i="17"/>
  <c r="P178" i="17" s="1"/>
  <c r="J179" i="17"/>
  <c r="L179" i="17"/>
  <c r="V179" i="17" s="1"/>
  <c r="W178" i="17"/>
  <c r="AR178" i="17" s="1"/>
  <c r="F179" i="17"/>
  <c r="Z179" i="17" s="1"/>
  <c r="AB179" i="17" s="1"/>
  <c r="AC179" i="17" s="1"/>
  <c r="AT177" i="17"/>
  <c r="O179" i="17"/>
  <c r="N179" i="17" s="1"/>
  <c r="AI179" i="17"/>
  <c r="S184" i="17"/>
  <c r="F85" i="17" l="1"/>
  <c r="X85" i="17" s="1"/>
  <c r="E86" i="17" s="1"/>
  <c r="AN183" i="17"/>
  <c r="U183" i="17"/>
  <c r="AB84" i="17"/>
  <c r="AC84" i="17" s="1"/>
  <c r="G85" i="17"/>
  <c r="AH85" i="17"/>
  <c r="W84" i="17"/>
  <c r="AF84" i="17"/>
  <c r="AG85" i="17" s="1"/>
  <c r="AE84" i="17"/>
  <c r="AM90" i="17" s="1"/>
  <c r="AA84" i="17"/>
  <c r="AT83" i="17"/>
  <c r="AS83" i="17"/>
  <c r="AO89" i="17"/>
  <c r="AP89" i="17" s="1"/>
  <c r="AN89" i="17"/>
  <c r="U89" i="17"/>
  <c r="AJ84" i="17"/>
  <c r="AK84" i="17"/>
  <c r="AL84" i="17" s="1"/>
  <c r="O84" i="17"/>
  <c r="R90" i="17" s="1"/>
  <c r="S90" i="17" s="1"/>
  <c r="J85" i="17"/>
  <c r="L85" i="17"/>
  <c r="V85" i="17" s="1"/>
  <c r="K85" i="17"/>
  <c r="AE179" i="17"/>
  <c r="AM185" i="17" s="1"/>
  <c r="AF179" i="17"/>
  <c r="AG180" i="17" s="1"/>
  <c r="AD179" i="17"/>
  <c r="AK179" i="17" s="1"/>
  <c r="AA179" i="17"/>
  <c r="G179" i="17"/>
  <c r="X179" i="17"/>
  <c r="E180" i="17" s="1"/>
  <c r="AU177" i="17"/>
  <c r="P179" i="17"/>
  <c r="AQ179" i="17" s="1"/>
  <c r="AJ179" i="17"/>
  <c r="AH180" i="17"/>
  <c r="W179" i="17"/>
  <c r="AQ178" i="17"/>
  <c r="T184" i="17"/>
  <c r="Q178" i="17"/>
  <c r="R185" i="17"/>
  <c r="Z85" i="17" l="1"/>
  <c r="AD85" i="17" s="1"/>
  <c r="AR84" i="17"/>
  <c r="AI85" i="17"/>
  <c r="AJ85" i="17" s="1"/>
  <c r="N84" i="17"/>
  <c r="P84" i="17" s="1"/>
  <c r="Q84" i="17" s="1"/>
  <c r="I86" i="17"/>
  <c r="F86" i="17"/>
  <c r="O85" i="17"/>
  <c r="AU83" i="17"/>
  <c r="W85" i="17"/>
  <c r="AH86" i="17"/>
  <c r="AR179" i="17"/>
  <c r="I180" i="17"/>
  <c r="E113" i="17"/>
  <c r="F180" i="17"/>
  <c r="T185" i="17"/>
  <c r="U185" i="17" s="1"/>
  <c r="Q179" i="17"/>
  <c r="AS179" i="17" s="1"/>
  <c r="S185" i="17"/>
  <c r="AN184" i="17"/>
  <c r="U184" i="17"/>
  <c r="AO184" i="17"/>
  <c r="AL179" i="17"/>
  <c r="AI180" i="17"/>
  <c r="AS178" i="17"/>
  <c r="AT178" i="17"/>
  <c r="AA85" i="17" l="1"/>
  <c r="AR85" i="17" s="1"/>
  <c r="AB85" i="17"/>
  <c r="AC85" i="17" s="1"/>
  <c r="AF85" i="17"/>
  <c r="AG86" i="17" s="1"/>
  <c r="AI86" i="17" s="1"/>
  <c r="AJ86" i="17" s="1"/>
  <c r="AE85" i="17"/>
  <c r="AM91" i="17" s="1"/>
  <c r="AK85" i="17"/>
  <c r="AL85" i="17" s="1"/>
  <c r="AQ84" i="17"/>
  <c r="X86" i="17"/>
  <c r="E87" i="17" s="1"/>
  <c r="I87" i="17" s="1"/>
  <c r="K87" i="17" s="1"/>
  <c r="O87" i="17" s="1"/>
  <c r="T90" i="17"/>
  <c r="AN90" i="17" s="1"/>
  <c r="R91" i="17"/>
  <c r="AT84" i="17"/>
  <c r="AS84" i="17"/>
  <c r="Z86" i="17"/>
  <c r="AB86" i="17" s="1"/>
  <c r="G86" i="17"/>
  <c r="K86" i="17"/>
  <c r="L86" i="17"/>
  <c r="V86" i="17" s="1"/>
  <c r="J86" i="17"/>
  <c r="N85" i="17"/>
  <c r="X180" i="17"/>
  <c r="G194" i="17"/>
  <c r="G187" i="17"/>
  <c r="G195" i="17"/>
  <c r="G180" i="17"/>
  <c r="G190" i="17"/>
  <c r="G184" i="17"/>
  <c r="G188" i="17"/>
  <c r="G189" i="17"/>
  <c r="G185" i="17"/>
  <c r="G192" i="17"/>
  <c r="G196" i="17"/>
  <c r="G191" i="17"/>
  <c r="G182" i="17"/>
  <c r="Z180" i="17"/>
  <c r="G186" i="17"/>
  <c r="G181" i="17"/>
  <c r="G193" i="17"/>
  <c r="G183" i="17"/>
  <c r="L180" i="17"/>
  <c r="J196" i="17"/>
  <c r="J186" i="17"/>
  <c r="J182" i="17"/>
  <c r="J192" i="17"/>
  <c r="J191" i="17"/>
  <c r="J185" i="17"/>
  <c r="J187" i="17"/>
  <c r="J183" i="17"/>
  <c r="J195" i="17"/>
  <c r="J193" i="17"/>
  <c r="J181" i="17"/>
  <c r="J188" i="17"/>
  <c r="J194" i="17"/>
  <c r="K180" i="17"/>
  <c r="J190" i="17"/>
  <c r="J189" i="17"/>
  <c r="J184" i="17"/>
  <c r="J180" i="17"/>
  <c r="AN185" i="17"/>
  <c r="AO185" i="17"/>
  <c r="AP185" i="17" s="1"/>
  <c r="AT179" i="17"/>
  <c r="AU179" i="17" s="1"/>
  <c r="AU178" i="17"/>
  <c r="AP184" i="17"/>
  <c r="AJ180" i="17"/>
  <c r="AC86" i="17" l="1"/>
  <c r="L87" i="17"/>
  <c r="V87" i="17" s="1"/>
  <c r="AH88" i="17" s="1"/>
  <c r="J87" i="17"/>
  <c r="AO90" i="17"/>
  <c r="AP90" i="17" s="1"/>
  <c r="F87" i="17"/>
  <c r="Z87" i="17" s="1"/>
  <c r="AB87" i="17" s="1"/>
  <c r="AC87" i="17" s="1"/>
  <c r="U90" i="17"/>
  <c r="AU84" i="17"/>
  <c r="O86" i="17"/>
  <c r="R92" i="17" s="1"/>
  <c r="S92" i="17" s="1"/>
  <c r="AD86" i="17"/>
  <c r="AK86" i="17" s="1"/>
  <c r="AL86" i="17" s="1"/>
  <c r="AF86" i="17"/>
  <c r="AG87" i="17" s="1"/>
  <c r="AA86" i="17"/>
  <c r="AE86" i="17"/>
  <c r="AM92" i="17" s="1"/>
  <c r="P85" i="17"/>
  <c r="W86" i="17"/>
  <c r="AH87" i="17"/>
  <c r="S91" i="17"/>
  <c r="N87" i="17"/>
  <c r="V181" i="17"/>
  <c r="AH182" i="17" s="1"/>
  <c r="AI182" i="17" s="1"/>
  <c r="AK182" i="17" s="1"/>
  <c r="L197" i="17"/>
  <c r="V180" i="17"/>
  <c r="O180" i="17"/>
  <c r="K197" i="17"/>
  <c r="AB180" i="17"/>
  <c r="AE180" i="17"/>
  <c r="AA186" i="17"/>
  <c r="Z197" i="17"/>
  <c r="AA180" i="17"/>
  <c r="AA188" i="17"/>
  <c r="AA187" i="17"/>
  <c r="AF180" i="17"/>
  <c r="AA183" i="17"/>
  <c r="AA182" i="17"/>
  <c r="AA194" i="17"/>
  <c r="AA196" i="17"/>
  <c r="AD180" i="17"/>
  <c r="AA189" i="17"/>
  <c r="AA185" i="17"/>
  <c r="AA192" i="17"/>
  <c r="AA190" i="17"/>
  <c r="AA181" i="17"/>
  <c r="AA184" i="17"/>
  <c r="AA193" i="17"/>
  <c r="AA195" i="17"/>
  <c r="AA191" i="17"/>
  <c r="AD87" i="17" l="1"/>
  <c r="AA87" i="17"/>
  <c r="X87" i="17"/>
  <c r="E88" i="17" s="1"/>
  <c r="F88" i="17" s="1"/>
  <c r="G88" i="17" s="1"/>
  <c r="AF87" i="17"/>
  <c r="AG88" i="17" s="1"/>
  <c r="AI88" i="17" s="1"/>
  <c r="G87" i="17"/>
  <c r="AE87" i="17"/>
  <c r="AM93" i="17" s="1"/>
  <c r="R93" i="17"/>
  <c r="S93" i="17" s="1"/>
  <c r="AI87" i="17"/>
  <c r="W87" i="17"/>
  <c r="AR86" i="17"/>
  <c r="N86" i="17"/>
  <c r="P86" i="17" s="1"/>
  <c r="AQ86" i="17" s="1"/>
  <c r="AQ85" i="17"/>
  <c r="T91" i="17"/>
  <c r="Q85" i="17"/>
  <c r="N180" i="17"/>
  <c r="R191" i="17"/>
  <c r="R192" i="17"/>
  <c r="R195" i="17"/>
  <c r="O197" i="17"/>
  <c r="R188" i="17"/>
  <c r="R194" i="17"/>
  <c r="R196" i="17"/>
  <c r="R186" i="17"/>
  <c r="R190" i="17"/>
  <c r="R193" i="17"/>
  <c r="R189" i="17"/>
  <c r="R187" i="17"/>
  <c r="AD113" i="17"/>
  <c r="AK180" i="17"/>
  <c r="AL180" i="17" s="1"/>
  <c r="AD197" i="17"/>
  <c r="AC196" i="17"/>
  <c r="AC182" i="17"/>
  <c r="AC184" i="17"/>
  <c r="AC185" i="17"/>
  <c r="AC187" i="17"/>
  <c r="AC194" i="17"/>
  <c r="AC180" i="17"/>
  <c r="AC191" i="17"/>
  <c r="AC192" i="17"/>
  <c r="AC181" i="17"/>
  <c r="AC190" i="17"/>
  <c r="AC183" i="17"/>
  <c r="AC186" i="17"/>
  <c r="AC188" i="17"/>
  <c r="AC193" i="17"/>
  <c r="AB113" i="17"/>
  <c r="AC189" i="17"/>
  <c r="AB197" i="17"/>
  <c r="AC195" i="17"/>
  <c r="AG181" i="17"/>
  <c r="AF197" i="17"/>
  <c r="AM189" i="17"/>
  <c r="AM186" i="17"/>
  <c r="AM193" i="17"/>
  <c r="AE197" i="17"/>
  <c r="AM194" i="17"/>
  <c r="AM187" i="17"/>
  <c r="AM196" i="17"/>
  <c r="AM188" i="17"/>
  <c r="AM195" i="17"/>
  <c r="AM191" i="17"/>
  <c r="AM190" i="17"/>
  <c r="AM192" i="17"/>
  <c r="AH181" i="17"/>
  <c r="AH197" i="17" s="1"/>
  <c r="V197" i="17"/>
  <c r="W191" i="17"/>
  <c r="W188" i="17"/>
  <c r="W181" i="17"/>
  <c r="AR181" i="17" s="1"/>
  <c r="W196" i="17"/>
  <c r="W180" i="17"/>
  <c r="AR180" i="17" s="1"/>
  <c r="W192" i="17"/>
  <c r="W186" i="17"/>
  <c r="W190" i="17"/>
  <c r="W185" i="17"/>
  <c r="AR185" i="17" s="1"/>
  <c r="W182" i="17"/>
  <c r="AR182" i="17" s="1"/>
  <c r="W187" i="17"/>
  <c r="W183" i="17"/>
  <c r="AR183" i="17" s="1"/>
  <c r="W195" i="17"/>
  <c r="W193" i="17"/>
  <c r="W189" i="17"/>
  <c r="W184" i="17"/>
  <c r="AR184" i="17" s="1"/>
  <c r="W194" i="17"/>
  <c r="Q86" i="17" l="1"/>
  <c r="AT86" i="17" s="1"/>
  <c r="AK87" i="17"/>
  <c r="AL87" i="17" s="1"/>
  <c r="AR87" i="17"/>
  <c r="I88" i="17"/>
  <c r="L88" i="17" s="1"/>
  <c r="V88" i="17" s="1"/>
  <c r="AH89" i="17" s="1"/>
  <c r="Z88" i="17"/>
  <c r="AA88" i="17" s="1"/>
  <c r="AJ88" i="17"/>
  <c r="AJ87" i="17"/>
  <c r="T92" i="17"/>
  <c r="AO92" i="17" s="1"/>
  <c r="AT85" i="17"/>
  <c r="AS85" i="17"/>
  <c r="AN91" i="17"/>
  <c r="AO91" i="17"/>
  <c r="U91" i="17"/>
  <c r="P87" i="17"/>
  <c r="AG197" i="17"/>
  <c r="AI181" i="17"/>
  <c r="S190" i="17"/>
  <c r="S196" i="17"/>
  <c r="S186" i="17"/>
  <c r="S191" i="17"/>
  <c r="S195" i="17"/>
  <c r="S189" i="17"/>
  <c r="S187" i="17"/>
  <c r="S188" i="17"/>
  <c r="S193" i="17"/>
  <c r="R197" i="17"/>
  <c r="S192" i="17"/>
  <c r="S194" i="17"/>
  <c r="P181" i="17"/>
  <c r="AQ181" i="17" s="1"/>
  <c r="P183" i="17"/>
  <c r="AQ183" i="17" s="1"/>
  <c r="P180" i="17"/>
  <c r="P184" i="17"/>
  <c r="AQ184" i="17" s="1"/>
  <c r="N197" i="17"/>
  <c r="P182" i="17"/>
  <c r="AQ182" i="17" s="1"/>
  <c r="AM197" i="17"/>
  <c r="AS86" i="17" l="1"/>
  <c r="X88" i="17"/>
  <c r="E89" i="17" s="1"/>
  <c r="F89" i="17" s="1"/>
  <c r="G89" i="17" s="1"/>
  <c r="AB88" i="17"/>
  <c r="AC88" i="17" s="1"/>
  <c r="AF88" i="17"/>
  <c r="AG89" i="17" s="1"/>
  <c r="AI89" i="17" s="1"/>
  <c r="AJ89" i="17" s="1"/>
  <c r="W88" i="17"/>
  <c r="AR88" i="17" s="1"/>
  <c r="K88" i="17"/>
  <c r="O88" i="17" s="1"/>
  <c r="R94" i="17" s="1"/>
  <c r="S94" i="17" s="1"/>
  <c r="J88" i="17"/>
  <c r="AD88" i="17"/>
  <c r="AK88" i="17" s="1"/>
  <c r="AL88" i="17" s="1"/>
  <c r="AE88" i="17"/>
  <c r="AM94" i="17" s="1"/>
  <c r="U92" i="17"/>
  <c r="AN92" i="17"/>
  <c r="AU85" i="17"/>
  <c r="AU86" i="17"/>
  <c r="AP91" i="17"/>
  <c r="AP92" i="17"/>
  <c r="AQ87" i="17"/>
  <c r="T93" i="17"/>
  <c r="Q87" i="17"/>
  <c r="AJ195" i="17"/>
  <c r="AJ185" i="17"/>
  <c r="AJ181" i="17"/>
  <c r="AI197" i="17"/>
  <c r="AJ191" i="17"/>
  <c r="AJ193" i="17"/>
  <c r="AJ189" i="17"/>
  <c r="AI113" i="17"/>
  <c r="AJ194" i="17"/>
  <c r="AJ182" i="17"/>
  <c r="AJ190" i="17"/>
  <c r="AJ188" i="17"/>
  <c r="AJ196" i="17"/>
  <c r="AJ184" i="17"/>
  <c r="AJ186" i="17"/>
  <c r="AJ187" i="17"/>
  <c r="AJ192" i="17"/>
  <c r="AK181" i="17"/>
  <c r="AJ183" i="17"/>
  <c r="Q196" i="17"/>
  <c r="T189" i="17"/>
  <c r="AO189" i="17" s="1"/>
  <c r="Q184" i="17"/>
  <c r="AS184" i="17" s="1"/>
  <c r="T193" i="17"/>
  <c r="AO193" i="17" s="1"/>
  <c r="T186" i="17"/>
  <c r="Q182" i="17"/>
  <c r="AS182" i="17" s="1"/>
  <c r="Q186" i="17"/>
  <c r="T196" i="17"/>
  <c r="AO196" i="17" s="1"/>
  <c r="T192" i="17"/>
  <c r="AO192" i="17" s="1"/>
  <c r="Q188" i="17"/>
  <c r="T187" i="17"/>
  <c r="AO187" i="17" s="1"/>
  <c r="Q181" i="17"/>
  <c r="AS181" i="17" s="1"/>
  <c r="T190" i="17"/>
  <c r="AO190" i="17" s="1"/>
  <c r="Q194" i="17"/>
  <c r="T195" i="17"/>
  <c r="AO195" i="17" s="1"/>
  <c r="Q189" i="17"/>
  <c r="AQ180" i="17"/>
  <c r="AQ197" i="17" s="1"/>
  <c r="T194" i="17"/>
  <c r="AO194" i="17" s="1"/>
  <c r="Q180" i="17"/>
  <c r="T191" i="17"/>
  <c r="AO191" i="17" s="1"/>
  <c r="Q187" i="17"/>
  <c r="Q193" i="17"/>
  <c r="Q185" i="17"/>
  <c r="AS185" i="17" s="1"/>
  <c r="Q191" i="17"/>
  <c r="Q192" i="17"/>
  <c r="Q190" i="17"/>
  <c r="Q195" i="17"/>
  <c r="Q183" i="17"/>
  <c r="AS183" i="17" s="1"/>
  <c r="T188" i="17"/>
  <c r="AO188" i="17" s="1"/>
  <c r="I89" i="17" l="1"/>
  <c r="K89" i="17" s="1"/>
  <c r="O89" i="17" s="1"/>
  <c r="R95" i="17" s="1"/>
  <c r="S95" i="17" s="1"/>
  <c r="Z89" i="17"/>
  <c r="AF89" i="17" s="1"/>
  <c r="AG90" i="17" s="1"/>
  <c r="N88" i="17"/>
  <c r="P88" i="17" s="1"/>
  <c r="AQ88" i="17" s="1"/>
  <c r="U93" i="17"/>
  <c r="AO93" i="17"/>
  <c r="AP93" i="17" s="1"/>
  <c r="AN93" i="17"/>
  <c r="AS87" i="17"/>
  <c r="AT87" i="17"/>
  <c r="AS192" i="17"/>
  <c r="AO186" i="17"/>
  <c r="AS187" i="17" s="1"/>
  <c r="U194" i="17"/>
  <c r="AR194" i="17" s="1"/>
  <c r="AN194" i="17"/>
  <c r="AT194" i="17" s="1"/>
  <c r="AN187" i="17"/>
  <c r="AN193" i="17"/>
  <c r="AT193" i="17" s="1"/>
  <c r="AN195" i="17"/>
  <c r="U191" i="17"/>
  <c r="AR191" i="17" s="1"/>
  <c r="U196" i="17"/>
  <c r="AR196" i="17" s="1"/>
  <c r="U187" i="17"/>
  <c r="AR187" i="17" s="1"/>
  <c r="AN189" i="17"/>
  <c r="T197" i="17"/>
  <c r="AO197" i="17" s="1"/>
  <c r="AN192" i="17"/>
  <c r="AT192" i="17" s="1"/>
  <c r="AU192" i="17" s="1"/>
  <c r="U186" i="17"/>
  <c r="AR186" i="17" s="1"/>
  <c r="U190" i="17"/>
  <c r="AR190" i="17" s="1"/>
  <c r="U192" i="17"/>
  <c r="AR192" i="17" s="1"/>
  <c r="U188" i="17"/>
  <c r="AR188" i="17" s="1"/>
  <c r="AN186" i="17"/>
  <c r="AT186" i="17" s="1"/>
  <c r="AN188" i="17"/>
  <c r="AT188" i="17" s="1"/>
  <c r="U195" i="17"/>
  <c r="AR195" i="17" s="1"/>
  <c r="AN190" i="17"/>
  <c r="AT190" i="17" s="1"/>
  <c r="U193" i="17"/>
  <c r="AR193" i="17" s="1"/>
  <c r="AN191" i="17"/>
  <c r="AT191" i="17" s="1"/>
  <c r="U189" i="17"/>
  <c r="AR189" i="17" s="1"/>
  <c r="AN196" i="17"/>
  <c r="AT196" i="17" s="1"/>
  <c r="AS189" i="17"/>
  <c r="AT189" i="17"/>
  <c r="AT183" i="17"/>
  <c r="AU183" i="17" s="1"/>
  <c r="AT181" i="17"/>
  <c r="AU181" i="17" s="1"/>
  <c r="AS195" i="17"/>
  <c r="AT195" i="17"/>
  <c r="AS180" i="17"/>
  <c r="AT180" i="17"/>
  <c r="AS186" i="17"/>
  <c r="AL189" i="17"/>
  <c r="AL192" i="17"/>
  <c r="AL190" i="17"/>
  <c r="AL185" i="17"/>
  <c r="AL195" i="17"/>
  <c r="AL181" i="17"/>
  <c r="AL183" i="17"/>
  <c r="AL193" i="17"/>
  <c r="AL188" i="17"/>
  <c r="AK197" i="17"/>
  <c r="H12" i="17" s="1"/>
  <c r="AL196" i="17"/>
  <c r="AL191" i="17"/>
  <c r="AL182" i="17"/>
  <c r="AL186" i="17"/>
  <c r="AL187" i="17"/>
  <c r="AL194" i="17"/>
  <c r="AL184" i="17"/>
  <c r="AT184" i="17"/>
  <c r="AU184" i="17" s="1"/>
  <c r="AT182" i="17"/>
  <c r="AU182" i="17" s="1"/>
  <c r="AT185" i="17"/>
  <c r="AU185" i="17" s="1"/>
  <c r="AS196" i="17"/>
  <c r="AS191" i="17"/>
  <c r="AS190" i="17"/>
  <c r="AS193" i="17"/>
  <c r="AS194" i="17"/>
  <c r="AS188" i="17"/>
  <c r="J89" i="17" l="1"/>
  <c r="L89" i="17"/>
  <c r="V89" i="17" s="1"/>
  <c r="W89" i="17" s="1"/>
  <c r="N89" i="17"/>
  <c r="P89" i="17" s="1"/>
  <c r="T95" i="17" s="1"/>
  <c r="X89" i="17"/>
  <c r="E90" i="17" s="1"/>
  <c r="F90" i="17" s="1"/>
  <c r="Z90" i="17" s="1"/>
  <c r="AD89" i="17"/>
  <c r="AK89" i="17" s="1"/>
  <c r="AL89" i="17" s="1"/>
  <c r="AE89" i="17"/>
  <c r="AM95" i="17" s="1"/>
  <c r="AA89" i="17"/>
  <c r="AB89" i="17"/>
  <c r="AC89" i="17" s="1"/>
  <c r="Q88" i="17"/>
  <c r="AS88" i="17" s="1"/>
  <c r="T94" i="17"/>
  <c r="AO94" i="17" s="1"/>
  <c r="AP94" i="17" s="1"/>
  <c r="AU87" i="17"/>
  <c r="G106" i="17"/>
  <c r="AT187" i="17"/>
  <c r="AU187" i="17" s="1"/>
  <c r="AU195" i="17"/>
  <c r="AU189" i="17"/>
  <c r="AU188" i="17"/>
  <c r="AU196" i="17"/>
  <c r="AU190" i="17"/>
  <c r="AU193" i="17"/>
  <c r="AU191" i="17"/>
  <c r="AU186" i="17"/>
  <c r="AU194" i="17"/>
  <c r="N2" i="19"/>
  <c r="W21" i="12"/>
  <c r="AU180" i="17"/>
  <c r="AP196" i="17"/>
  <c r="AP186" i="17"/>
  <c r="AP195" i="17"/>
  <c r="AP194" i="17"/>
  <c r="AO113" i="17"/>
  <c r="AP192" i="17"/>
  <c r="AP187" i="17"/>
  <c r="AP193" i="17"/>
  <c r="AP191" i="17"/>
  <c r="AP188" i="17"/>
  <c r="AP190" i="17"/>
  <c r="AP189" i="17"/>
  <c r="G101" i="17" l="1"/>
  <c r="G100" i="17"/>
  <c r="G95" i="17"/>
  <c r="G91" i="17"/>
  <c r="G90" i="17"/>
  <c r="G103" i="17"/>
  <c r="G104" i="17"/>
  <c r="G94" i="17"/>
  <c r="G96" i="17"/>
  <c r="G97" i="17"/>
  <c r="G105" i="17"/>
  <c r="G92" i="17"/>
  <c r="G102" i="17"/>
  <c r="G99" i="17"/>
  <c r="G98" i="17"/>
  <c r="G93" i="17"/>
  <c r="E23" i="17"/>
  <c r="AH90" i="17"/>
  <c r="AI90" i="17" s="1"/>
  <c r="AJ90" i="17" s="1"/>
  <c r="AR89" i="17"/>
  <c r="I90" i="17"/>
  <c r="J93" i="17" s="1"/>
  <c r="U94" i="17"/>
  <c r="AT88" i="17"/>
  <c r="AU88" i="17" s="1"/>
  <c r="AN94" i="17"/>
  <c r="U95" i="17"/>
  <c r="Q89" i="17"/>
  <c r="AQ89" i="17"/>
  <c r="AO95" i="17"/>
  <c r="AP95" i="17" s="1"/>
  <c r="AN95" i="17"/>
  <c r="AE90" i="17"/>
  <c r="AA100" i="17"/>
  <c r="AA93" i="17"/>
  <c r="AA104" i="17"/>
  <c r="AA92" i="17"/>
  <c r="AF90" i="17"/>
  <c r="AA103" i="17"/>
  <c r="AA94" i="17"/>
  <c r="AA99" i="17"/>
  <c r="AA90" i="17"/>
  <c r="AA96" i="17"/>
  <c r="AA102" i="17"/>
  <c r="AA106" i="17"/>
  <c r="AD90" i="17"/>
  <c r="Z107" i="17"/>
  <c r="AA95" i="17"/>
  <c r="AA91" i="17"/>
  <c r="AA105" i="17"/>
  <c r="AA97" i="17"/>
  <c r="AA98" i="17"/>
  <c r="AA101" i="17"/>
  <c r="J94" i="17" l="1"/>
  <c r="J101" i="17"/>
  <c r="J100" i="17"/>
  <c r="J103" i="17"/>
  <c r="J95" i="17"/>
  <c r="J104" i="17"/>
  <c r="J90" i="17"/>
  <c r="J105" i="17"/>
  <c r="J106" i="17"/>
  <c r="J102" i="17"/>
  <c r="J99" i="17"/>
  <c r="J98" i="17"/>
  <c r="J97" i="17"/>
  <c r="J91" i="17"/>
  <c r="J96" i="17"/>
  <c r="J92" i="17"/>
  <c r="X90" i="17"/>
  <c r="AB90" i="17"/>
  <c r="AC95" i="17" s="1"/>
  <c r="L90" i="17"/>
  <c r="V90" i="17" s="1"/>
  <c r="AH91" i="17" s="1"/>
  <c r="K90" i="17"/>
  <c r="K107" i="17" s="1"/>
  <c r="AS89" i="17"/>
  <c r="AT89" i="17"/>
  <c r="W90" i="17"/>
  <c r="AR90" i="17" s="1"/>
  <c r="AD107" i="17"/>
  <c r="AD23" i="17"/>
  <c r="AK90" i="17"/>
  <c r="AL90" i="17" s="1"/>
  <c r="AG91" i="17"/>
  <c r="AF107" i="17"/>
  <c r="AM100" i="17"/>
  <c r="AM96" i="17"/>
  <c r="AM102" i="17"/>
  <c r="AM99" i="17"/>
  <c r="AM104" i="17"/>
  <c r="AM105" i="17"/>
  <c r="AM98" i="17"/>
  <c r="AM103" i="17"/>
  <c r="AE107" i="17"/>
  <c r="AM97" i="17"/>
  <c r="AM101" i="17"/>
  <c r="AM106" i="17"/>
  <c r="AC99" i="17" l="1"/>
  <c r="AC103" i="17"/>
  <c r="AC106" i="17"/>
  <c r="AC102" i="17"/>
  <c r="AC105" i="17"/>
  <c r="AC92" i="17"/>
  <c r="AC91" i="17"/>
  <c r="AC97" i="17"/>
  <c r="AC90" i="17"/>
  <c r="AB107" i="17"/>
  <c r="J13" i="17" s="1"/>
  <c r="Q3" i="19" s="1"/>
  <c r="AC93" i="17"/>
  <c r="AC98" i="17"/>
  <c r="AC94" i="17"/>
  <c r="AC100" i="17"/>
  <c r="AC104" i="17"/>
  <c r="AC101" i="17"/>
  <c r="AC96" i="17"/>
  <c r="AB23" i="17"/>
  <c r="L107" i="17"/>
  <c r="V91" i="17"/>
  <c r="W93" i="17" s="1"/>
  <c r="AR93" i="17" s="1"/>
  <c r="O90" i="17"/>
  <c r="N90" i="17" s="1"/>
  <c r="P92" i="17" s="1"/>
  <c r="AQ92" i="17" s="1"/>
  <c r="AU89" i="17"/>
  <c r="AM107" i="17"/>
  <c r="AI91" i="17"/>
  <c r="AG107" i="17"/>
  <c r="R96" i="17" l="1"/>
  <c r="S96" i="17" s="1"/>
  <c r="W96" i="17"/>
  <c r="W97" i="17"/>
  <c r="W92" i="17"/>
  <c r="AR92" i="17" s="1"/>
  <c r="W91" i="17"/>
  <c r="AR91" i="17" s="1"/>
  <c r="W99" i="17"/>
  <c r="V107" i="17"/>
  <c r="W102" i="17"/>
  <c r="O107" i="17"/>
  <c r="W95" i="17"/>
  <c r="AR95" i="17" s="1"/>
  <c r="W94" i="17"/>
  <c r="AR94" i="17" s="1"/>
  <c r="W105" i="17"/>
  <c r="W106" i="17"/>
  <c r="AH92" i="17"/>
  <c r="W101" i="17"/>
  <c r="W98" i="17"/>
  <c r="W103" i="17"/>
  <c r="W104" i="17"/>
  <c r="W100" i="17"/>
  <c r="N107" i="17"/>
  <c r="R103" i="17"/>
  <c r="R102" i="17"/>
  <c r="R98" i="17"/>
  <c r="R99" i="17"/>
  <c r="P94" i="17"/>
  <c r="AQ94" i="17" s="1"/>
  <c r="R105" i="17"/>
  <c r="P90" i="17"/>
  <c r="T96" i="17" s="1"/>
  <c r="AN96" i="17" s="1"/>
  <c r="P93" i="17"/>
  <c r="AQ93" i="17" s="1"/>
  <c r="R104" i="17"/>
  <c r="R106" i="17"/>
  <c r="P91" i="17"/>
  <c r="AQ91" i="17" s="1"/>
  <c r="R101" i="17"/>
  <c r="R100" i="17"/>
  <c r="R97" i="17"/>
  <c r="AK91" i="17"/>
  <c r="AJ91" i="17"/>
  <c r="U96" i="17" l="1"/>
  <c r="AR96" i="17" s="1"/>
  <c r="AO96" i="17"/>
  <c r="AP96" i="17" s="1"/>
  <c r="S97" i="17"/>
  <c r="S106" i="17"/>
  <c r="Q92" i="17"/>
  <c r="AS92" i="17" s="1"/>
  <c r="S100" i="17"/>
  <c r="Q104" i="17"/>
  <c r="Q102" i="17"/>
  <c r="Q97" i="17"/>
  <c r="Q105" i="17"/>
  <c r="S98" i="17"/>
  <c r="Q100" i="17"/>
  <c r="Q103" i="17"/>
  <c r="Q98" i="17"/>
  <c r="Q101" i="17"/>
  <c r="Q96" i="17"/>
  <c r="Q95" i="17"/>
  <c r="AS95" i="17" s="1"/>
  <c r="S105" i="17"/>
  <c r="S102" i="17"/>
  <c r="Q94" i="17"/>
  <c r="AS94" i="17" s="1"/>
  <c r="S103" i="17"/>
  <c r="Q93" i="17"/>
  <c r="AS93" i="17" s="1"/>
  <c r="Q91" i="17"/>
  <c r="AS91" i="17" s="1"/>
  <c r="Q90" i="17"/>
  <c r="AS90" i="17" s="1"/>
  <c r="S101" i="17"/>
  <c r="S104" i="17"/>
  <c r="S99" i="17"/>
  <c r="R107" i="17"/>
  <c r="Q99" i="17"/>
  <c r="Q106" i="17"/>
  <c r="AI92" i="17"/>
  <c r="AH107" i="17"/>
  <c r="AI108" i="17" s="1"/>
  <c r="T97" i="17"/>
  <c r="AO97" i="17" s="1"/>
  <c r="AQ90" i="17"/>
  <c r="AQ107" i="17" s="1"/>
  <c r="T103" i="17"/>
  <c r="AO103" i="17" s="1"/>
  <c r="T105" i="17"/>
  <c r="AO105" i="17" s="1"/>
  <c r="T98" i="17"/>
  <c r="AO98" i="17" s="1"/>
  <c r="T106" i="17"/>
  <c r="AO106" i="17" s="1"/>
  <c r="T102" i="17"/>
  <c r="AO102" i="17" s="1"/>
  <c r="T99" i="17"/>
  <c r="AO99" i="17" s="1"/>
  <c r="T104" i="17"/>
  <c r="AO104" i="17" s="1"/>
  <c r="T100" i="17"/>
  <c r="AO100" i="17" s="1"/>
  <c r="T101" i="17"/>
  <c r="AO101" i="17" s="1"/>
  <c r="AL91" i="17"/>
  <c r="AS100" i="17" l="1"/>
  <c r="AS106" i="17"/>
  <c r="AS105" i="17"/>
  <c r="AS96" i="17"/>
  <c r="AS97" i="17"/>
  <c r="AN98" i="17"/>
  <c r="AP97" i="17"/>
  <c r="U100" i="17"/>
  <c r="AR100" i="17" s="1"/>
  <c r="AN99" i="17"/>
  <c r="AN97" i="17"/>
  <c r="AN106" i="17"/>
  <c r="AP98" i="17"/>
  <c r="U105" i="17"/>
  <c r="AR105" i="17" s="1"/>
  <c r="AP102" i="17"/>
  <c r="T107" i="17"/>
  <c r="AO107" i="17" s="1"/>
  <c r="AT91" i="17"/>
  <c r="AU91" i="17" s="1"/>
  <c r="AS99" i="17"/>
  <c r="U98" i="17"/>
  <c r="AR98" i="17" s="1"/>
  <c r="U99" i="17"/>
  <c r="AR99" i="17" s="1"/>
  <c r="U97" i="17"/>
  <c r="AR97" i="17" s="1"/>
  <c r="AP104" i="17"/>
  <c r="AP103" i="17"/>
  <c r="AO23" i="17"/>
  <c r="AP106" i="17"/>
  <c r="AN103" i="17"/>
  <c r="AN102" i="17"/>
  <c r="AS98" i="17"/>
  <c r="AN105" i="17"/>
  <c r="U106" i="17"/>
  <c r="AR106" i="17" s="1"/>
  <c r="AN100" i="17"/>
  <c r="AP101" i="17"/>
  <c r="AN104" i="17"/>
  <c r="U104" i="17"/>
  <c r="AR104" i="17" s="1"/>
  <c r="AN101" i="17"/>
  <c r="U102" i="17"/>
  <c r="AR102" i="17" s="1"/>
  <c r="AS104" i="17"/>
  <c r="AT90" i="17"/>
  <c r="AU90" i="17" s="1"/>
  <c r="AP100" i="17"/>
  <c r="AP105" i="17"/>
  <c r="AP99" i="17"/>
  <c r="U103" i="17"/>
  <c r="AR103" i="17" s="1"/>
  <c r="U101" i="17"/>
  <c r="AR101" i="17" s="1"/>
  <c r="AS101" i="17"/>
  <c r="AS102" i="17"/>
  <c r="AS103" i="17"/>
  <c r="AK92" i="17"/>
  <c r="AJ104" i="17"/>
  <c r="AJ100" i="17"/>
  <c r="AJ96" i="17"/>
  <c r="AT96" i="17" s="1"/>
  <c r="AJ106" i="17"/>
  <c r="AJ93" i="17"/>
  <c r="AT93" i="17" s="1"/>
  <c r="AU93" i="17" s="1"/>
  <c r="AJ105" i="17"/>
  <c r="AJ94" i="17"/>
  <c r="AT94" i="17" s="1"/>
  <c r="AU94" i="17" s="1"/>
  <c r="AJ103" i="17"/>
  <c r="AJ101" i="17"/>
  <c r="AI107" i="17"/>
  <c r="AJ95" i="17"/>
  <c r="AT95" i="17" s="1"/>
  <c r="AU95" i="17" s="1"/>
  <c r="AJ102" i="17"/>
  <c r="AT102" i="17" s="1"/>
  <c r="AJ99" i="17"/>
  <c r="AJ97" i="17"/>
  <c r="AJ92" i="17"/>
  <c r="AT92" i="17" s="1"/>
  <c r="AU92" i="17" s="1"/>
  <c r="AJ98" i="17"/>
  <c r="AT98" i="17" s="1"/>
  <c r="AI23" i="17"/>
  <c r="AU96" i="17" l="1"/>
  <c r="AT97" i="17"/>
  <c r="AU97" i="17" s="1"/>
  <c r="AT99" i="17"/>
  <c r="AU99" i="17" s="1"/>
  <c r="AU98" i="17"/>
  <c r="AT103" i="17"/>
  <c r="AT106" i="17"/>
  <c r="AU106" i="17" s="1"/>
  <c r="AU102" i="17"/>
  <c r="AT104" i="17"/>
  <c r="AU104" i="17" s="1"/>
  <c r="AU103" i="17"/>
  <c r="AT101" i="17"/>
  <c r="AU101" i="17" s="1"/>
  <c r="AT105" i="17"/>
  <c r="AU105" i="17" s="1"/>
  <c r="AT100" i="17"/>
  <c r="AU100" i="17" s="1"/>
  <c r="AL94" i="17"/>
  <c r="AL105" i="17"/>
  <c r="AL95" i="17"/>
  <c r="AL93" i="17"/>
  <c r="AL104" i="17"/>
  <c r="AK107" i="17"/>
  <c r="H13" i="17" s="1"/>
  <c r="AL99" i="17"/>
  <c r="AL97" i="17"/>
  <c r="AL98" i="17"/>
  <c r="AL102" i="17"/>
  <c r="AL100" i="17"/>
  <c r="AL101" i="17"/>
  <c r="AL92" i="17"/>
  <c r="AL103" i="17"/>
  <c r="AL106" i="17"/>
  <c r="AL96" i="17"/>
  <c r="AZ38" i="17" l="1"/>
  <c r="BA38" i="17" s="1"/>
  <c r="AZ43" i="17"/>
  <c r="BA43" i="17" s="1"/>
  <c r="AZ63" i="17"/>
  <c r="BA63" i="17" s="1"/>
  <c r="AZ39" i="17"/>
  <c r="BA39" i="17" s="1"/>
  <c r="AZ46" i="17"/>
  <c r="BA46" i="17" s="1"/>
  <c r="AZ36" i="17"/>
  <c r="BA36" i="17" s="1"/>
  <c r="AZ102" i="17"/>
  <c r="BA102" i="17" s="1"/>
  <c r="AZ100" i="17"/>
  <c r="BA100" i="17" s="1"/>
  <c r="AZ49" i="17"/>
  <c r="BA49" i="17" s="1"/>
  <c r="AZ71" i="17"/>
  <c r="BA71" i="17" s="1"/>
  <c r="AZ30" i="17"/>
  <c r="BA30" i="17" s="1"/>
  <c r="AZ87" i="17"/>
  <c r="BA87" i="17" s="1"/>
  <c r="AZ45" i="17"/>
  <c r="BA45" i="17" s="1"/>
  <c r="AZ55" i="17"/>
  <c r="BA55" i="17" s="1"/>
  <c r="AZ92" i="17"/>
  <c r="BA92" i="17" s="1"/>
  <c r="AZ78" i="17"/>
  <c r="BA78" i="17" s="1"/>
  <c r="AZ101" i="17"/>
  <c r="BA101" i="17" s="1"/>
  <c r="AZ33" i="17"/>
  <c r="BA33" i="17" s="1"/>
  <c r="AZ29" i="17"/>
  <c r="BA29" i="17" s="1"/>
  <c r="AZ47" i="17"/>
  <c r="BA47" i="17" s="1"/>
  <c r="AZ67" i="17"/>
  <c r="BA67" i="17" s="1"/>
  <c r="AZ51" i="17"/>
  <c r="BA51" i="17" s="1"/>
  <c r="AZ89" i="17"/>
  <c r="BA89" i="17" s="1"/>
  <c r="AZ34" i="17"/>
  <c r="BA34" i="17" s="1"/>
  <c r="AZ104" i="17"/>
  <c r="BA104" i="17" s="1"/>
  <c r="AZ73" i="17"/>
  <c r="BA73" i="17" s="1"/>
  <c r="AZ31" i="17"/>
  <c r="BA31" i="17" s="1"/>
  <c r="AZ106" i="17"/>
  <c r="BA106" i="17" s="1"/>
  <c r="AZ77" i="17"/>
  <c r="BA77" i="17" s="1"/>
  <c r="AZ37" i="17"/>
  <c r="BA37" i="17" s="1"/>
  <c r="AZ82" i="17"/>
  <c r="BA82" i="17" s="1"/>
  <c r="AZ65" i="17"/>
  <c r="BA65" i="17" s="1"/>
  <c r="AZ59" i="17"/>
  <c r="BA59" i="17" s="1"/>
  <c r="AZ54" i="17"/>
  <c r="BA54" i="17" s="1"/>
  <c r="AZ35" i="17"/>
  <c r="BA35" i="17" s="1"/>
  <c r="AZ56" i="17"/>
  <c r="BA56" i="17" s="1"/>
  <c r="AZ94" i="17"/>
  <c r="BA94" i="17" s="1"/>
  <c r="J15" i="17"/>
  <c r="Q5" i="19" s="1"/>
  <c r="AZ40" i="17"/>
  <c r="BA40" i="17" s="1"/>
  <c r="AZ93" i="17"/>
  <c r="BA93" i="17" s="1"/>
  <c r="AZ66" i="17"/>
  <c r="BA66" i="17" s="1"/>
  <c r="AZ76" i="17"/>
  <c r="BA76" i="17" s="1"/>
  <c r="AZ48" i="17"/>
  <c r="BA48" i="17" s="1"/>
  <c r="AZ42" i="17"/>
  <c r="BA42" i="17" s="1"/>
  <c r="AZ83" i="17"/>
  <c r="BA83" i="17" s="1"/>
  <c r="AZ80" i="17"/>
  <c r="BA80" i="17" s="1"/>
  <c r="AZ75" i="17"/>
  <c r="BA75" i="17" s="1"/>
  <c r="AZ70" i="17"/>
  <c r="BA70" i="17" s="1"/>
  <c r="AZ72" i="17"/>
  <c r="BA72" i="17" s="1"/>
  <c r="AZ99" i="17"/>
  <c r="BA99" i="17" s="1"/>
  <c r="AZ74" i="17"/>
  <c r="BA74" i="17" s="1"/>
  <c r="AZ52" i="17"/>
  <c r="BA52" i="17" s="1"/>
  <c r="AZ95" i="17"/>
  <c r="BA95" i="17" s="1"/>
  <c r="AZ64" i="17"/>
  <c r="BA64" i="17" s="1"/>
  <c r="AZ32" i="17"/>
  <c r="BA32" i="17" s="1"/>
  <c r="AZ98" i="17"/>
  <c r="BA98" i="17" s="1"/>
  <c r="AZ86" i="17"/>
  <c r="BA86" i="17" s="1"/>
  <c r="AZ103" i="17"/>
  <c r="BA103" i="17" s="1"/>
  <c r="AZ28" i="17"/>
  <c r="BA28" i="17" s="1"/>
  <c r="AZ41" i="17"/>
  <c r="BA41" i="17" s="1"/>
  <c r="AZ62" i="17"/>
  <c r="BA62" i="17" s="1"/>
  <c r="AZ44" i="17"/>
  <c r="BA44" i="17" s="1"/>
  <c r="AZ97" i="17"/>
  <c r="BA97" i="17" s="1"/>
  <c r="AZ96" i="17"/>
  <c r="BA96" i="17" s="1"/>
  <c r="AZ68" i="17"/>
  <c r="BA68" i="17" s="1"/>
  <c r="AZ91" i="17"/>
  <c r="BA91" i="17" s="1"/>
  <c r="AZ60" i="17"/>
  <c r="BA60" i="17" s="1"/>
  <c r="AZ53" i="17"/>
  <c r="BA53" i="17" s="1"/>
  <c r="AZ58" i="17"/>
  <c r="BA58" i="17" s="1"/>
  <c r="AZ69" i="17"/>
  <c r="BA69" i="17" s="1"/>
  <c r="AZ85" i="17"/>
  <c r="BA85" i="17" s="1"/>
  <c r="AZ81" i="17"/>
  <c r="BA81" i="17" s="1"/>
  <c r="AZ79" i="17"/>
  <c r="BA79" i="17" s="1"/>
  <c r="AZ90" i="17"/>
  <c r="BA90" i="17" s="1"/>
  <c r="AZ105" i="17"/>
  <c r="BA105" i="17" s="1"/>
  <c r="AZ50" i="17"/>
  <c r="BA50" i="17" s="1"/>
  <c r="AZ27" i="17"/>
  <c r="BA27" i="17" s="1"/>
  <c r="AZ57" i="17"/>
  <c r="BA57" i="17" s="1"/>
  <c r="AZ88" i="17"/>
  <c r="BA88" i="17" s="1"/>
  <c r="AZ84" i="17"/>
  <c r="BA84" i="17" s="1"/>
  <c r="AZ61" i="17"/>
  <c r="BA61" i="17" s="1"/>
  <c r="X21" i="12"/>
  <c r="N3" i="19"/>
  <c r="H14" i="17"/>
  <c r="BA25" i="17" l="1"/>
  <c r="J14" i="17" s="1"/>
  <c r="Q4" i="19" s="1"/>
  <c r="H15" i="17"/>
  <c r="N5" i="19" s="1"/>
  <c r="N4" i="19"/>
</calcChain>
</file>

<file path=xl/comments1.xml><?xml version="1.0" encoding="utf-8"?>
<comments xmlns="http://schemas.openxmlformats.org/spreadsheetml/2006/main">
  <authors>
    <author>Rainisch, Gabriel (CDC/OID/NCEZID)</author>
    <author>Author</author>
  </authors>
  <commentList>
    <comment ref="E50" authorId="0" shapeId="0">
      <text>
        <r>
          <rPr>
            <sz val="10"/>
            <color indexed="81"/>
            <rFont val="Tahoma"/>
            <family val="2"/>
          </rPr>
          <t>Requires Population size entry (at Step 2.2) on the "Incubation Period Settings" PAGE.</t>
        </r>
      </text>
    </comment>
    <comment ref="E122" authorId="0" shapeId="0">
      <text>
        <r>
          <rPr>
            <sz val="10"/>
            <color indexed="81"/>
            <rFont val="Tahoma"/>
            <family val="2"/>
          </rPr>
          <t xml:space="preserve">Requires Population size entries on the "EVENT DATA" PAGE.
</t>
        </r>
      </text>
    </comment>
    <comment ref="J128" authorId="1" shapeId="0">
      <text>
        <r>
          <rPr>
            <sz val="10"/>
            <color indexed="81"/>
            <rFont val="Tahoma"/>
            <family val="2"/>
          </rPr>
          <t>will be autopopulated from event/scenario sheet where case data is included</t>
        </r>
      </text>
    </comment>
    <comment ref="E193" authorId="0" shapeId="0">
      <text>
        <r>
          <rPr>
            <sz val="10"/>
            <color indexed="81"/>
            <rFont val="Tahoma"/>
            <family val="2"/>
          </rPr>
          <t xml:space="preserve">Requires Population size entries on the "EVENT DATA" PAGE.
</t>
        </r>
      </text>
    </comment>
    <comment ref="J199" authorId="1" shapeId="0">
      <text>
        <r>
          <rPr>
            <sz val="10"/>
            <color indexed="81"/>
            <rFont val="Tahoma"/>
            <family val="2"/>
          </rPr>
          <t>will be autopopulated from event/scenario sheet where case data is included</t>
        </r>
      </text>
    </comment>
    <comment ref="E264" authorId="0" shapeId="0">
      <text>
        <r>
          <rPr>
            <sz val="10"/>
            <color indexed="81"/>
            <rFont val="Tahoma"/>
            <family val="2"/>
          </rPr>
          <t xml:space="preserve">Requires Population size entries on the "EVENT DATA" PAGE.
</t>
        </r>
      </text>
    </comment>
    <comment ref="J270" authorId="1" shapeId="0">
      <text>
        <r>
          <rPr>
            <sz val="10"/>
            <color indexed="81"/>
            <rFont val="Tahoma"/>
            <family val="2"/>
          </rPr>
          <t>will be autopopulated from event/scenario sheet where case data is included</t>
        </r>
      </text>
    </comment>
  </commentList>
</comments>
</file>

<file path=xl/comments2.xml><?xml version="1.0" encoding="utf-8"?>
<comments xmlns="http://schemas.openxmlformats.org/spreadsheetml/2006/main">
  <authors>
    <author>Rainisch, Gabriel (CDC/OID/NCEZID)</author>
  </authors>
  <commentList>
    <comment ref="N18" authorId="0" shapeId="0">
      <text>
        <r>
          <rPr>
            <b/>
            <sz val="10"/>
            <color indexed="81"/>
            <rFont val="Tahoma"/>
            <family val="2"/>
          </rPr>
          <t>Stops accumulating once campaign goal is reached</t>
        </r>
        <r>
          <rPr>
            <sz val="10"/>
            <color indexed="81"/>
            <rFont val="Tahoma"/>
            <family val="2"/>
          </rPr>
          <t xml:space="preserve">
</t>
        </r>
      </text>
    </comment>
  </commentList>
</comments>
</file>

<file path=xl/comments3.xml><?xml version="1.0" encoding="utf-8"?>
<comments xmlns="http://schemas.openxmlformats.org/spreadsheetml/2006/main">
  <authors>
    <author>CDC User</author>
    <author>Rainisch, Gabriel (CDC/OID/NCEZID)</author>
  </authors>
  <commentList>
    <comment ref="E24" authorId="0" shapeId="0">
      <text>
        <r>
          <rPr>
            <sz val="9"/>
            <color indexed="81"/>
            <rFont val="Tahoma"/>
            <family val="2"/>
          </rPr>
          <t>Day 1's formula is different because there is no remainder from a prior event day</t>
        </r>
      </text>
    </comment>
    <comment ref="I24" authorId="0" shapeId="0">
      <text>
        <r>
          <rPr>
            <b/>
            <sz val="9"/>
            <color indexed="81"/>
            <rFont val="Tahoma"/>
            <family val="2"/>
          </rPr>
          <t>first removes those transitioning to fulminant on same day as calculation</t>
        </r>
        <r>
          <rPr>
            <sz val="9"/>
            <color indexed="81"/>
            <rFont val="Tahoma"/>
            <family val="2"/>
          </rPr>
          <t xml:space="preserve">
</t>
        </r>
      </text>
    </comment>
    <comment ref="R24" authorId="0" shapeId="0">
      <text>
        <r>
          <rPr>
            <sz val="9"/>
            <color indexed="81"/>
            <rFont val="Tahoma"/>
            <family val="2"/>
          </rPr>
          <t xml:space="preserve">probability of recovery is dictated by a normal probability distribution with mean of 18 treatment days and a SD of 3 treatment days:  See columns AW &amp; AX
</t>
        </r>
      </text>
    </comment>
    <comment ref="T24" authorId="0" shapeId="0">
      <text>
        <r>
          <rPr>
            <sz val="9"/>
            <color indexed="81"/>
            <rFont val="Tahoma"/>
            <family val="2"/>
          </rPr>
          <t xml:space="preserve">probability of recovery is dictated by a normal probability distribution with mean of 18 treatment days and a SD of 3 treatment days:  See columns AW &amp; AX
</t>
        </r>
      </text>
    </comment>
    <comment ref="Z24" authorId="0" shapeId="0">
      <text>
        <r>
          <rPr>
            <sz val="9"/>
            <color indexed="81"/>
            <rFont val="Tahoma"/>
            <family val="2"/>
          </rPr>
          <t>Deaths are not removed prior to the determination is made on whether treatment is sought or not by fulminants (differs from how the # of prodromals seeking trtment is calculated)</t>
        </r>
      </text>
    </comment>
    <comment ref="AD24" authorId="0" shapeId="0">
      <text>
        <r>
          <rPr>
            <sz val="9"/>
            <color indexed="81"/>
            <rFont val="Tahoma"/>
            <family val="2"/>
          </rPr>
          <t>100% probability of dying on the same day prodromals transition to fulminant if treatment is not sought on the same day</t>
        </r>
      </text>
    </comment>
    <comment ref="AG24" authorId="0" shapeId="0">
      <text>
        <r>
          <rPr>
            <sz val="9"/>
            <color indexed="81"/>
            <rFont val="Tahoma"/>
            <family val="2"/>
          </rPr>
          <t xml:space="preserve">100% probability of death after 1 day
</t>
        </r>
      </text>
    </comment>
    <comment ref="AM24" authorId="0" shapeId="0">
      <text>
        <r>
          <rPr>
            <sz val="9"/>
            <color indexed="81"/>
            <rFont val="Tahoma"/>
            <family val="2"/>
          </rPr>
          <t xml:space="preserve">probability of recovery is dictated by a normal probability distribution with mean of 18 treatment days and a SD of 3 treatment days:  See columns AW &amp; AX
</t>
        </r>
      </text>
    </comment>
    <comment ref="AQ24" authorId="0" shapeId="0">
      <text>
        <r>
          <rPr>
            <sz val="9"/>
            <color indexed="81"/>
            <rFont val="Tahoma"/>
            <charset val="1"/>
          </rPr>
          <t xml:space="preserve">the sum of new fulminants (not yet in treatment) and those who become fulminant in treatment
</t>
        </r>
      </text>
    </comment>
    <comment ref="E28" authorId="0" shapeId="0">
      <text>
        <r>
          <rPr>
            <sz val="9"/>
            <color indexed="81"/>
            <rFont val="Tahoma"/>
            <family val="2"/>
          </rPr>
          <t>change in formula here is to prevent remainder from becoming negative (resulting from counts getting so small that prodromals converting to fulminants in a few days from the current day cause negative)</t>
        </r>
      </text>
    </comment>
    <comment ref="E31" authorId="0" shapeId="0">
      <text>
        <r>
          <rPr>
            <sz val="9"/>
            <color indexed="81"/>
            <rFont val="Tahoma"/>
            <family val="2"/>
          </rPr>
          <t xml:space="preserve">forces all prodromals to eventually convert to fulminant when the result of multiplying a small number of remaining prodromals times the transitition probability results in a case count less than 0.5
</t>
        </r>
      </text>
    </comment>
    <comment ref="AT53" authorId="0" shapeId="0">
      <text>
        <r>
          <rPr>
            <b/>
            <sz val="9"/>
            <color indexed="81"/>
            <rFont val="Tahoma"/>
            <family val="2"/>
          </rPr>
          <t>adjusts for rounding discrepencies</t>
        </r>
        <r>
          <rPr>
            <sz val="9"/>
            <color indexed="81"/>
            <rFont val="Tahoma"/>
            <family val="2"/>
          </rPr>
          <t xml:space="preserve">
</t>
        </r>
      </text>
    </comment>
    <comment ref="E114" authorId="0" shapeId="0">
      <text>
        <r>
          <rPr>
            <sz val="9"/>
            <color indexed="81"/>
            <rFont val="Tahoma"/>
            <family val="2"/>
          </rPr>
          <t>Exception: Day1= #x because there is no remainder from the prior day</t>
        </r>
      </text>
    </comment>
    <comment ref="F114" authorId="0" shapeId="0">
      <text>
        <r>
          <rPr>
            <sz val="9"/>
            <color indexed="81"/>
            <rFont val="Tahoma"/>
            <family val="2"/>
          </rPr>
          <t xml:space="preserve">set at 20% constant transition probability
</t>
        </r>
      </text>
    </comment>
    <comment ref="I114" authorId="0" shapeId="0">
      <text>
        <r>
          <rPr>
            <b/>
            <sz val="9"/>
            <color indexed="81"/>
            <rFont val="Tahoma"/>
            <family val="2"/>
          </rPr>
          <t>first removes those transitioning to fulminant on same day as calculation</t>
        </r>
        <r>
          <rPr>
            <sz val="9"/>
            <color indexed="81"/>
            <rFont val="Tahoma"/>
            <family val="2"/>
          </rPr>
          <t xml:space="preserve">
</t>
        </r>
      </text>
    </comment>
    <comment ref="P114" authorId="1" shapeId="0">
      <text>
        <r>
          <rPr>
            <sz val="8"/>
            <color indexed="81"/>
            <rFont val="Tahoma"/>
            <family val="2"/>
          </rPr>
          <t>set at 20% daily transition</t>
        </r>
        <r>
          <rPr>
            <sz val="8"/>
            <color indexed="81"/>
            <rFont val="Tahoma"/>
            <family val="2"/>
          </rPr>
          <t xml:space="preserve">
</t>
        </r>
      </text>
    </comment>
    <comment ref="R114" authorId="0" shapeId="0">
      <text>
        <r>
          <rPr>
            <sz val="9"/>
            <color indexed="81"/>
            <rFont val="Tahoma"/>
            <family val="2"/>
          </rPr>
          <t xml:space="preserve">probability of recovery is dictated by a normal probability distribution with mean of 18 treatment days and a SD of 3 treatment days:  See columns AD &amp; AE
</t>
        </r>
      </text>
    </comment>
    <comment ref="T114" authorId="0" shapeId="0">
      <text>
        <r>
          <rPr>
            <sz val="9"/>
            <color indexed="81"/>
            <rFont val="Tahoma"/>
            <family val="2"/>
          </rPr>
          <t xml:space="preserve">probability of recovery is dictated by a normal probability distribution with mean of 18 treatment days and a SD of 3 treatment days:  See columns AS &amp; AT
</t>
        </r>
      </text>
    </comment>
    <comment ref="V114" authorId="1" shapeId="0">
      <text>
        <r>
          <rPr>
            <sz val="8"/>
            <color indexed="81"/>
            <rFont val="Tahoma"/>
            <family val="2"/>
          </rPr>
          <t xml:space="preserve">set at 50% daily transition
</t>
        </r>
      </text>
    </comment>
    <comment ref="Z114" authorId="0" shapeId="0">
      <text>
        <r>
          <rPr>
            <sz val="9"/>
            <color indexed="81"/>
            <rFont val="Tahoma"/>
            <family val="2"/>
          </rPr>
          <t>Deaths are not removed prior to the determination is made on whether treatment is sought or not by fulminants (differs from how the # of prodromals seeking trtment is calculated)</t>
        </r>
      </text>
    </comment>
    <comment ref="AD114" authorId="0" shapeId="0">
      <text>
        <r>
          <rPr>
            <sz val="9"/>
            <color indexed="81"/>
            <rFont val="Tahoma"/>
            <family val="2"/>
          </rPr>
          <t>100% probability of dying on the same day prodromals transition to fulminant if treatment is not sought on the same day</t>
        </r>
      </text>
    </comment>
    <comment ref="AG114" authorId="0" shapeId="0">
      <text>
        <r>
          <rPr>
            <sz val="9"/>
            <color indexed="81"/>
            <rFont val="Tahoma"/>
            <family val="2"/>
          </rPr>
          <t xml:space="preserve">100% probability of death after 1 day
</t>
        </r>
      </text>
    </comment>
    <comment ref="AM114" authorId="0" shapeId="0">
      <text>
        <r>
          <rPr>
            <sz val="9"/>
            <color indexed="81"/>
            <rFont val="Tahoma"/>
            <family val="2"/>
          </rPr>
          <t xml:space="preserve">probability of recovery is dictated by a normal probability distribution with mean of 18 treatment days and a SD of 3 treatment days:  See columns AD &amp; AE
</t>
        </r>
      </text>
    </comment>
    <comment ref="AQ114" authorId="0" shapeId="0">
      <text>
        <r>
          <rPr>
            <sz val="9"/>
            <color indexed="81"/>
            <rFont val="Tahoma"/>
            <charset val="1"/>
          </rPr>
          <t xml:space="preserve">the sum of new fulminants (not yet in treatment) and those who become fulminant in treatment
</t>
        </r>
      </text>
    </comment>
    <comment ref="E118" authorId="0" shapeId="0">
      <text>
        <r>
          <rPr>
            <sz val="9"/>
            <color indexed="81"/>
            <rFont val="Tahoma"/>
            <family val="2"/>
          </rPr>
          <t xml:space="preserve">change in formula here is to prevent remainder from becoming negative (resulting from counts getting so small that prodromals converting to fulminants in a few days from the current day cause negative)
</t>
        </r>
      </text>
    </comment>
    <comment ref="E121" authorId="0" shapeId="0">
      <text>
        <r>
          <rPr>
            <sz val="9"/>
            <color indexed="81"/>
            <rFont val="Tahoma"/>
            <family val="2"/>
          </rPr>
          <t xml:space="preserve">forces all prodromals to eventually convert to fulminant when the result of multiplying a small number of remaining prodromals times the transitition probability results in a case count less than 0.5
</t>
        </r>
      </text>
    </comment>
    <comment ref="AT143" authorId="0" shapeId="0">
      <text>
        <r>
          <rPr>
            <b/>
            <sz val="9"/>
            <color indexed="81"/>
            <rFont val="Tahoma"/>
            <family val="2"/>
          </rPr>
          <t>adjusts for rounding discrepencies</t>
        </r>
        <r>
          <rPr>
            <sz val="9"/>
            <color indexed="81"/>
            <rFont val="Tahoma"/>
            <family val="2"/>
          </rPr>
          <t xml:space="preserve">
</t>
        </r>
      </text>
    </comment>
  </commentList>
</comments>
</file>

<file path=xl/sharedStrings.xml><?xml version="1.0" encoding="utf-8"?>
<sst xmlns="http://schemas.openxmlformats.org/spreadsheetml/2006/main" count="1073" uniqueCount="634">
  <si>
    <t>Information</t>
  </si>
  <si>
    <t>Decisions</t>
  </si>
  <si>
    <t>Date --&gt;</t>
  </si>
  <si>
    <t>Time --&gt;</t>
  </si>
  <si>
    <t>Event size
Required medical care capacity for treating ill (and worried well)</t>
  </si>
  <si>
    <t>Impacted jurisdictions 
Geographic distribution of cases</t>
  </si>
  <si>
    <t>Exposure source, exposure mechanism, exposure duration, targeted populations, etc.
Potential for continued/additional exposures
Microbiological characteristics of the agent</t>
  </si>
  <si>
    <t>Responder exposure and illness risk</t>
  </si>
  <si>
    <t xml:space="preserve">Confirmed location and identity of the exposure source
Suspected exposure routes
Potential for continued/additional exposures
</t>
  </si>
  <si>
    <t>Impacted demographies
Demographic distribution of cases</t>
  </si>
  <si>
    <t>Suspected locations and/or identities of the exposure source (when unknown)
Event size projections
Potential for and amount of MCCM shortage</t>
  </si>
  <si>
    <t>Case fatalities and rates
Clinical profile of disease
Medical care requirements for infected</t>
  </si>
  <si>
    <t>Occupational risk profile for responders
Potential exposure sources among responders
Crude Personal Protection Equipment (PPE) effectiveness measures</t>
  </si>
  <si>
    <t>PEP effectiveness</t>
  </si>
  <si>
    <t>PEP safety profile</t>
  </si>
  <si>
    <t>Drug resistance profile</t>
  </si>
  <si>
    <t>A defined "zone of contamination"
Exposure risks (including longer-term outlook)</t>
  </si>
  <si>
    <t>The number, characteristics, and geographic distribution of medical treatment facilities
Treatment facility's real-time capacity and resource measures</t>
  </si>
  <si>
    <t xml:space="preserve">Geospatial risk of illness
Potential for and Amount of MCCM shortage
</t>
  </si>
  <si>
    <t>Locations where anthrax has been found in the environment</t>
  </si>
  <si>
    <t>Disease profile and treatment effectiveness</t>
  </si>
  <si>
    <t>SNS distribution penetration measures
Ecologic measures of PEP efficacy</t>
  </si>
  <si>
    <t>Information Gleaned</t>
  </si>
  <si>
    <t>Time characteristics</t>
  </si>
  <si>
    <t>Data type</t>
  </si>
  <si>
    <t>Data</t>
  </si>
  <si>
    <t>Directly gleaned</t>
  </si>
  <si>
    <t>Dependent on combining with other Data Type</t>
  </si>
  <si>
    <t>Time to earliest availability post-detection^</t>
  </si>
  <si>
    <t>Average Data Lag***</t>
  </si>
  <si>
    <t>data generation requirement</t>
  </si>
  <si>
    <t>Receipt Frequency</t>
  </si>
  <si>
    <t>source/system name</t>
  </si>
  <si>
    <t>CDC EOC collector (responsible IMS entity)</t>
  </si>
  <si>
    <t>Data Value</t>
  </si>
  <si>
    <r>
      <t>Information Stability</t>
    </r>
    <r>
      <rPr>
        <b/>
        <vertAlign val="superscript"/>
        <sz val="11"/>
        <color theme="1"/>
        <rFont val="Calibri"/>
        <family val="2"/>
        <scheme val="minor"/>
      </rPr>
      <t>#</t>
    </r>
  </si>
  <si>
    <t>Provider to CDC EOC</t>
  </si>
  <si>
    <t>case information - aggregated</t>
  </si>
  <si>
    <t>case counts</t>
  </si>
  <si>
    <t>case exposure</t>
  </si>
  <si>
    <t>Summary Notification Form</t>
  </si>
  <si>
    <t>Epidemiology &amp; Surveillance</t>
  </si>
  <si>
    <t>Local Health departments</t>
  </si>
  <si>
    <t>case treatment location</t>
  </si>
  <si>
    <t>case information - patient level</t>
  </si>
  <si>
    <t>case demographics</t>
  </si>
  <si>
    <t>Demographic risk of exposure/illness
Intervention effectiveness among vulnerable populations</t>
  </si>
  <si>
    <t>Case Report Form</t>
  </si>
  <si>
    <t>case clinical presentation/disposition</t>
  </si>
  <si>
    <t>case exposures - general public</t>
  </si>
  <si>
    <t>Potential exposure sources and mechanisms</t>
  </si>
  <si>
    <t>case exposures - responders</t>
  </si>
  <si>
    <t>MCCM treatment</t>
  </si>
  <si>
    <t>Case MCCM treatment profile</t>
  </si>
  <si>
    <t>Alerts to PEP failure</t>
  </si>
  <si>
    <t>Case countermeasure-associated adverse events</t>
  </si>
  <si>
    <t>Alerts to PEP-related adverse events</t>
  </si>
  <si>
    <t>adverse event in case</t>
  </si>
  <si>
    <t>AIG requests</t>
  </si>
  <si>
    <t>Impacted locations not recognized through surveillance
Measure of AIG shortage</t>
  </si>
  <si>
    <t>decision to request AIG</t>
  </si>
  <si>
    <t>CDC, OSELS Countermeasure Tracking system (CTS)*</t>
  </si>
  <si>
    <t>MCCM</t>
  </si>
  <si>
    <t>Local Health Departments</t>
  </si>
  <si>
    <t>Laboratory</t>
  </si>
  <si>
    <t>Antimicrobial Susceptibility</t>
  </si>
  <si>
    <t>decision to complete antimicrobial resistance testing</t>
  </si>
  <si>
    <t>as needed</t>
  </si>
  <si>
    <t>CDC DHQP Lab</t>
  </si>
  <si>
    <t>Environmental Sampling</t>
  </si>
  <si>
    <t>decision to complete environmental sampling</t>
  </si>
  <si>
    <r>
      <t>CDC LRN</t>
    </r>
    <r>
      <rPr>
        <sz val="11"/>
        <color theme="1"/>
        <rFont val="Calibri"/>
        <family val="2"/>
        <scheme val="minor"/>
      </rPr>
      <t xml:space="preserve"> – BioWatch BAR Phase I/II Results;
</t>
    </r>
    <r>
      <rPr>
        <u/>
        <sz val="11"/>
        <color theme="1"/>
        <rFont val="Calibri"/>
        <family val="2"/>
        <scheme val="minor"/>
      </rPr>
      <t>ELRN (EPA)</t>
    </r>
    <r>
      <rPr>
        <sz val="11"/>
        <color theme="1"/>
        <rFont val="Calibri"/>
        <family val="2"/>
        <scheme val="minor"/>
      </rPr>
      <t xml:space="preserve"> – All Non-BioWatch Sampling Results </t>
    </r>
  </si>
  <si>
    <t>Environmental Mitigation</t>
  </si>
  <si>
    <t>EPA</t>
  </si>
  <si>
    <t>Microbiological confirmatory testing</t>
  </si>
  <si>
    <t>Diagnostic confirmation 
Organism’s genotype and resulting characteristics</t>
  </si>
  <si>
    <t>Track proportion of “caseness” (based on linkage with CRF data)
Origin of agent (for sharing with criminal investigators)</t>
  </si>
  <si>
    <t>decision to submit specimen for confirmatory testing</t>
  </si>
  <si>
    <t>1/0/1900  12:00:00 AM</t>
  </si>
  <si>
    <t>CDC Infectious Disease Pathology Lab, Zoonotic, BSPB Zoonotic and Select Agents Lab, and NCEH Biological Mass Spectrometry Lab</t>
  </si>
  <si>
    <t>Veterinary</t>
  </si>
  <si>
    <t>Wildlife Outbreaks</t>
  </si>
  <si>
    <t>Animal reservoirs of further potential human illness</t>
  </si>
  <si>
    <t>Potential for additional human illness by specific persons/populations based on susceptibility and exposures to infected animals</t>
  </si>
  <si>
    <t>routine report generation</t>
  </si>
  <si>
    <r>
      <t>USDA</t>
    </r>
    <r>
      <rPr>
        <sz val="11"/>
        <color theme="1"/>
        <rFont val="Calibri"/>
        <family val="2"/>
        <scheme val="minor"/>
      </rPr>
      <t>: 1)National Animal Health Monitoring System livestock only, 2)Fisheries and Wildlife Services – national parks only</t>
    </r>
  </si>
  <si>
    <t>State Public Health Vets/Animal Boards of Health</t>
  </si>
  <si>
    <t>State wildlife park services – state wildlife</t>
  </si>
  <si>
    <t>Livestock Inspections</t>
  </si>
  <si>
    <t>Event impact on food safety and associated potential for further human illness</t>
  </si>
  <si>
    <t>USDA: Food Safety Inspection Service</t>
  </si>
  <si>
    <t>SNS logistics logs</t>
  </si>
  <si>
    <t>SNS distribution efficiency and penetration indicators</t>
  </si>
  <si>
    <t>1/0/1900  8:00:00 AM</t>
  </si>
  <si>
    <t>SNS deployment</t>
  </si>
  <si>
    <t>CDC SNS</t>
  </si>
  <si>
    <t>Healthcare delivery</t>
  </si>
  <si>
    <t>medical treatment capacity/use</t>
  </si>
  <si>
    <t>EOC activation</t>
  </si>
  <si>
    <t>TBD</t>
  </si>
  <si>
    <t>?</t>
  </si>
  <si>
    <t>Law enforcement</t>
  </si>
  <si>
    <t>exposure-related characteristics</t>
  </si>
  <si>
    <t>CDC OSEP or FBI liaison</t>
  </si>
  <si>
    <t>Federal Bureau of Investigations (FBI)</t>
  </si>
  <si>
    <t>BEYOND THIS POINT: OPTIONAL DATA OR DECISION TO RECEIVE DIRECTLY BY CDC EOC HAS NOT BEEN MADE:</t>
  </si>
  <si>
    <t>Pre-event knowledge (e.g. how long it take to deploy SNS, lab throughput measures, clinical disease profile based on prior events/modeling/research, persistence of spores and reaerosolization potential, etc.)</t>
  </si>
  <si>
    <t>Syndromic</t>
  </si>
  <si>
    <t>ED data</t>
  </si>
  <si>
    <t>BioSense or Community-based distributed system**</t>
  </si>
  <si>
    <t>CDC BioSense or Local Health Departments</t>
  </si>
  <si>
    <t>Shelter data</t>
  </si>
  <si>
    <t>Outpatient data</t>
  </si>
  <si>
    <t>Inpatient data</t>
  </si>
  <si>
    <t>*This system is in development - in the meantime doctors send requests directly to CDC/NCEZID/DHCP/BSPB</t>
  </si>
  <si>
    <t>**This system in development - otherwise will not be collected if not from an area covered by BioSense</t>
  </si>
  <si>
    <t>***Time elapsed between the "Data Generation Requirement" event (see column G) and the availability of information gleaned from the data by the CDC EOC (i.e. a measure of how "stale" the data is on average - for example, a 2 day Data Lag means the data represents a point in time two days prior to the day it is available for CDC EOC analysis)</t>
  </si>
  <si>
    <t>^ time elapsed between detection of event and soonest possible data arrival at EOC</t>
  </si>
  <si>
    <t>Date</t>
  </si>
  <si>
    <t>No</t>
  </si>
  <si>
    <t>Value</t>
  </si>
  <si>
    <t>Table of Contents</t>
  </si>
  <si>
    <t>Default</t>
  </si>
  <si>
    <t>CASES</t>
  </si>
  <si>
    <t>DATE</t>
  </si>
  <si>
    <t>DATE TOTAL</t>
  </si>
  <si>
    <t>sum to 60</t>
  </si>
  <si>
    <t>PDF uncertainty-Upper bound</t>
  </si>
  <si>
    <t>CDF uncertainty-Upper bound</t>
  </si>
  <si>
    <t>CDF uncertainty-Lower bound</t>
  </si>
  <si>
    <t>projected total given detected cases to-date</t>
  </si>
  <si>
    <t>Cum detected cases (n)</t>
  </si>
  <si>
    <t>CDF of Cases</t>
  </si>
  <si>
    <t>PDF of Cases</t>
  </si>
  <si>
    <t>cum prob</t>
  </si>
  <si>
    <t>logN to 60d</t>
  </si>
  <si>
    <t>Lognormal</t>
  </si>
  <si>
    <t>Days</t>
  </si>
  <si>
    <t>E)</t>
  </si>
  <si>
    <t>sigma</t>
  </si>
  <si>
    <t>incubation std deviation (days)</t>
  </si>
  <si>
    <t>D)</t>
  </si>
  <si>
    <t>mu</t>
  </si>
  <si>
    <t>median incubation (days)</t>
  </si>
  <si>
    <t>C)</t>
  </si>
  <si>
    <t>% of exposed that become infected</t>
  </si>
  <si>
    <t>B)</t>
  </si>
  <si>
    <t>Exposed population</t>
  </si>
  <si>
    <t>A)</t>
  </si>
  <si>
    <t>start date for graphs</t>
  </si>
  <si>
    <t>TABLE OF CONTENTS</t>
  </si>
  <si>
    <t>INTRODUCTION</t>
  </si>
  <si>
    <t>GETTING STARTED / INSTRUCTONS</t>
  </si>
  <si>
    <r>
      <t>Created by: Gabriel Rainisch</t>
    </r>
    <r>
      <rPr>
        <vertAlign val="superscript"/>
        <sz val="11"/>
        <rFont val="Arial"/>
        <family val="2"/>
      </rPr>
      <t>1</t>
    </r>
    <r>
      <rPr>
        <sz val="11"/>
        <rFont val="Arial"/>
        <family val="2"/>
      </rPr>
      <t>, Nathaniel Hupert</t>
    </r>
    <r>
      <rPr>
        <vertAlign val="superscript"/>
        <sz val="11"/>
        <rFont val="Arial"/>
        <family val="2"/>
      </rPr>
      <t>2</t>
    </r>
    <r>
      <rPr>
        <sz val="11"/>
        <rFont val="Arial"/>
        <family val="2"/>
      </rPr>
      <t>, Martin Meltzer</t>
    </r>
    <r>
      <rPr>
        <vertAlign val="superscript"/>
        <sz val="11"/>
        <rFont val="Arial"/>
        <family val="2"/>
      </rPr>
      <t>1</t>
    </r>
  </si>
  <si>
    <r>
      <t>Advisors: Sean Shadomy</t>
    </r>
    <r>
      <rPr>
        <vertAlign val="superscript"/>
        <sz val="11"/>
        <rFont val="Arial"/>
        <family val="2"/>
      </rPr>
      <t>1</t>
    </r>
    <r>
      <rPr>
        <sz val="11"/>
        <rFont val="Arial"/>
        <family val="2"/>
      </rPr>
      <t>, William Bower</t>
    </r>
    <r>
      <rPr>
        <vertAlign val="superscript"/>
        <sz val="11"/>
        <rFont val="Arial"/>
        <family val="2"/>
      </rPr>
      <t>1</t>
    </r>
  </si>
  <si>
    <r>
      <t>1</t>
    </r>
    <r>
      <rPr>
        <sz val="10"/>
        <rFont val="Arial"/>
        <family val="2"/>
      </rPr>
      <t xml:space="preserve">U.S. Centers for Disease Control and Prevention, </t>
    </r>
    <r>
      <rPr>
        <vertAlign val="superscript"/>
        <sz val="10"/>
        <rFont val="Arial"/>
        <family val="2"/>
      </rPr>
      <t>2</t>
    </r>
    <r>
      <rPr>
        <sz val="10"/>
        <rFont val="Arial"/>
        <family val="2"/>
      </rPr>
      <t>Weill Medical College of Cornell University</t>
    </r>
  </si>
  <si>
    <t>Timeline Start Date:</t>
  </si>
  <si>
    <t>Start Time:</t>
  </si>
  <si>
    <t>Timeline</t>
  </si>
  <si>
    <t>DATE of ILLNESS ONSET</t>
  </si>
  <si>
    <t>3.1.2</t>
  </si>
  <si>
    <t>Date &amp; Time dispensing begins?</t>
  </si>
  <si>
    <t>peak day</t>
  </si>
  <si>
    <t>error prior</t>
  </si>
  <si>
    <t>error after</t>
  </si>
  <si>
    <t>dispensation date options</t>
  </si>
  <si>
    <t>Yes</t>
  </si>
  <si>
    <t>Days until full capacity</t>
  </si>
  <si>
    <t># prophy/day at full capacity</t>
  </si>
  <si>
    <t>Start date</t>
  </si>
  <si>
    <t>PEP cases averted</t>
  </si>
  <si>
    <t>Campaign Impact on PDF</t>
  </si>
  <si>
    <t>End date</t>
  </si>
  <si>
    <t>projected % of goal met at campaign's end</t>
  </si>
  <si>
    <t>Duration w/ ramp-up</t>
  </si>
  <si>
    <t>Cum Cases no PEP</t>
  </si>
  <si>
    <t>Cum cases w/ PEP</t>
  </si>
  <si>
    <r>
      <t xml:space="preserve">Attack size estimate </t>
    </r>
    <r>
      <rPr>
        <b/>
        <u/>
        <sz val="10"/>
        <rFont val="Arial"/>
        <family val="2"/>
      </rPr>
      <t>no PEP</t>
    </r>
  </si>
  <si>
    <r>
      <t xml:space="preserve">Attack size estimate </t>
    </r>
    <r>
      <rPr>
        <b/>
        <u/>
        <sz val="10"/>
        <rFont val="Arial"/>
        <family val="2"/>
      </rPr>
      <t>w/ PEP</t>
    </r>
  </si>
  <si>
    <t>PEP Effectiveness</t>
  </si>
  <si>
    <t>Projected prophylaxed at campaign's end</t>
  </si>
  <si>
    <t># prophylaxed/day daily increase during ramp-up</t>
  </si>
  <si>
    <t>Daily # prophylaxed</t>
  </si>
  <si>
    <t>Cum # prophylaxed</t>
  </si>
  <si>
    <t>Adherence decay rate per day</t>
  </si>
  <si>
    <t># ill (PDF-based) No campaign</t>
  </si>
  <si>
    <t># ill (PDF based) w/ Campaign</t>
  </si>
  <si>
    <t>Exp. Pop. (i.e. prophylaxis campaign Goal)</t>
  </si>
  <si>
    <t>Ramp-up days until full capacity</t>
  </si>
  <si>
    <t>Adherence</t>
  </si>
  <si>
    <t>Efficacy</t>
  </si>
  <si>
    <t>multiplier</t>
  </si>
  <si>
    <t>If ramp-up, then ramp-up duration, else full cap. duration</t>
  </si>
  <si>
    <t>CDF w/ Campaign</t>
  </si>
  <si>
    <t>Cases</t>
  </si>
  <si>
    <t>Deaths</t>
  </si>
  <si>
    <t>Event Day</t>
  </si>
  <si>
    <t>Parameter and Decision Settings Summary</t>
  </si>
  <si>
    <t>PEP Impact Model Output</t>
  </si>
  <si>
    <t>PEP Campaign Start date*</t>
  </si>
  <si>
    <t>Date Full Capacity Achieved when Ramp-up used*</t>
  </si>
  <si>
    <t>Mark PEP Campaign End date*</t>
  </si>
  <si>
    <t>*1 Day was added to account for the time required for oral antibiotics to exert their protective effect</t>
  </si>
  <si>
    <t>Median (days)</t>
  </si>
  <si>
    <t xml:space="preserve"> Effectiveness = (Efficacy x Adherence)</t>
  </si>
  <si>
    <t>dose dependent parameters</t>
  </si>
  <si>
    <t>alpha</t>
  </si>
  <si>
    <t>beta</t>
  </si>
  <si>
    <t>gamma</t>
  </si>
  <si>
    <t>delta</t>
  </si>
  <si>
    <t>Average Exposed dose</t>
  </si>
  <si>
    <t>alpha +beta*log(Dose)</t>
  </si>
  <si>
    <t># of spores</t>
  </si>
  <si>
    <t>lognormal wilkening</t>
  </si>
  <si>
    <t>lognormal brookmeyer</t>
  </si>
  <si>
    <t>wilkening LogN to 60d</t>
  </si>
  <si>
    <t>brookmeyer LogN to 60d</t>
  </si>
  <si>
    <t>wilkening PDF of cases</t>
  </si>
  <si>
    <t>wilkening projected total given detected to-date</t>
  </si>
  <si>
    <t>wilkening CDF of cases</t>
  </si>
  <si>
    <t>wilkening cum prob</t>
  </si>
  <si>
    <t>brookmeyer PDF of cases</t>
  </si>
  <si>
    <t>brookmeyer CDF of cases</t>
  </si>
  <si>
    <t>brookmeyer projected total given detected to-date</t>
  </si>
  <si>
    <t>brookmeyer cum prob</t>
  </si>
  <si>
    <t>e^(gamma+delta*log(Dose))</t>
  </si>
  <si>
    <t>Prodromal (early stage illness)</t>
  </si>
  <si>
    <t>Early</t>
  </si>
  <si>
    <t>Late</t>
  </si>
  <si>
    <t>post PR</t>
  </si>
  <si>
    <t>pre PR</t>
  </si>
  <si>
    <t>prodromal</t>
  </si>
  <si>
    <t>fulminant</t>
  </si>
  <si>
    <t>Medical Effectiveness</t>
  </si>
  <si>
    <t>Healthcare Impact Model Output</t>
  </si>
  <si>
    <t>Deaths, WITH PEP Campaign</t>
  </si>
  <si>
    <t>Deaths, NO PEP Campaign</t>
  </si>
  <si>
    <t>Assignment Method 1 - Base Case</t>
  </si>
  <si>
    <t>Assignment Method 3 (optional)</t>
  </si>
  <si>
    <t>Assignment Method 2 (optional)</t>
  </si>
  <si>
    <t>base case</t>
  </si>
  <si>
    <t>method1</t>
  </si>
  <si>
    <t>method2</t>
  </si>
  <si>
    <t>Wilkening</t>
  </si>
  <si>
    <t>Selected Incubation Distribution</t>
  </si>
  <si>
    <r>
      <rPr>
        <b/>
        <i/>
        <sz val="10"/>
        <rFont val="Arial"/>
        <family val="2"/>
      </rPr>
      <t>a priori</t>
    </r>
    <r>
      <rPr>
        <b/>
        <sz val="10"/>
        <rFont val="Arial"/>
        <family val="2"/>
      </rPr>
      <t xml:space="preserve"> attack size [A*B/100]</t>
    </r>
  </si>
  <si>
    <t>F)</t>
  </si>
  <si>
    <t>wilkening-median</t>
  </si>
  <si>
    <t>wilkening attack size-Low</t>
  </si>
  <si>
    <t>wilkening attack size - Mid</t>
  </si>
  <si>
    <t>Median Attack Size estimate</t>
  </si>
  <si>
    <t>wilkening attack size-High</t>
  </si>
  <si>
    <t>wilkening-High 95% CI</t>
  </si>
  <si>
    <t>wilkening-Low 95% CI</t>
  </si>
  <si>
    <t>Median</t>
  </si>
  <si>
    <t>selected incubation distribution:</t>
  </si>
  <si>
    <t>Detected Cases</t>
  </si>
  <si>
    <t>Case Count Assignment Method 3</t>
  </si>
  <si>
    <t>Low</t>
  </si>
  <si>
    <t>High</t>
  </si>
  <si>
    <t>S.E.</t>
  </si>
  <si>
    <r>
      <t>#</t>
    </r>
    <r>
      <rPr>
        <vertAlign val="subscript"/>
        <sz val="14"/>
        <rFont val="Arial"/>
        <family val="2"/>
      </rPr>
      <t>x</t>
    </r>
  </si>
  <si>
    <t>PDF based, # of new prodromals</t>
  </si>
  <si>
    <r>
      <t>Rp</t>
    </r>
    <r>
      <rPr>
        <vertAlign val="subscript"/>
        <sz val="14"/>
        <rFont val="Arial"/>
        <family val="2"/>
      </rPr>
      <t>x</t>
    </r>
  </si>
  <si>
    <r>
      <rPr>
        <sz val="18"/>
        <rFont val="Arial"/>
        <family val="2"/>
      </rPr>
      <t>L</t>
    </r>
    <r>
      <rPr>
        <sz val="14"/>
        <rFont val="Arial"/>
        <family val="2"/>
      </rPr>
      <t>PF</t>
    </r>
    <r>
      <rPr>
        <vertAlign val="subscript"/>
        <sz val="14"/>
        <rFont val="Arial"/>
        <family val="2"/>
      </rPr>
      <t>t(x)</t>
    </r>
  </si>
  <si>
    <r>
      <t>L</t>
    </r>
    <r>
      <rPr>
        <sz val="11"/>
        <rFont val="Arial"/>
        <family val="2"/>
      </rPr>
      <t>Pt</t>
    </r>
    <r>
      <rPr>
        <vertAlign val="subscript"/>
        <sz val="11"/>
        <rFont val="Arial"/>
        <family val="2"/>
      </rPr>
      <t>x</t>
    </r>
  </si>
  <si>
    <r>
      <t>D</t>
    </r>
    <r>
      <rPr>
        <sz val="11"/>
        <rFont val="Arial"/>
        <family val="2"/>
      </rPr>
      <t>Pt</t>
    </r>
    <r>
      <rPr>
        <vertAlign val="subscript"/>
        <sz val="11"/>
        <rFont val="Arial"/>
        <family val="2"/>
      </rPr>
      <t>x</t>
    </r>
  </si>
  <si>
    <r>
      <rPr>
        <sz val="18"/>
        <rFont val="Arial"/>
        <family val="2"/>
      </rPr>
      <t>D</t>
    </r>
    <r>
      <rPr>
        <sz val="14"/>
        <rFont val="Arial"/>
        <family val="2"/>
      </rPr>
      <t>PF</t>
    </r>
    <r>
      <rPr>
        <vertAlign val="subscript"/>
        <sz val="14"/>
        <rFont val="Arial"/>
        <family val="2"/>
      </rPr>
      <t>t(x)</t>
    </r>
  </si>
  <si>
    <t>set at 20% transition</t>
  </si>
  <si>
    <r>
      <t xml:space="preserve"># of prodromals </t>
    </r>
    <r>
      <rPr>
        <u/>
        <sz val="10"/>
        <rFont val="Arial"/>
        <family val="2"/>
      </rPr>
      <t>in treatment</t>
    </r>
    <r>
      <rPr>
        <sz val="10"/>
        <rFont val="Arial"/>
        <family val="2"/>
      </rPr>
      <t xml:space="preserve"> transitioning to fulminant who will be </t>
    </r>
    <r>
      <rPr>
        <u/>
        <sz val="10"/>
        <rFont val="Arial"/>
        <family val="2"/>
      </rPr>
      <t>Saved</t>
    </r>
  </si>
  <si>
    <r>
      <t>(L</t>
    </r>
    <r>
      <rPr>
        <sz val="10"/>
        <rFont val="Arial"/>
        <family val="2"/>
      </rPr>
      <t>Pt</t>
    </r>
    <r>
      <rPr>
        <vertAlign val="subscript"/>
        <sz val="14"/>
        <rFont val="Arial"/>
        <family val="2"/>
      </rPr>
      <t>x</t>
    </r>
    <r>
      <rPr>
        <sz val="14"/>
        <rFont val="Arial"/>
        <family val="2"/>
      </rPr>
      <t>)(t</t>
    </r>
    <r>
      <rPr>
        <vertAlign val="subscript"/>
        <sz val="14"/>
        <rFont val="Arial"/>
        <family val="2"/>
      </rPr>
      <t>PtoF</t>
    </r>
    <r>
      <rPr>
        <sz val="14"/>
        <rFont val="Arial"/>
        <family val="2"/>
      </rPr>
      <t>)</t>
    </r>
  </si>
  <si>
    <r>
      <t>(D</t>
    </r>
    <r>
      <rPr>
        <sz val="10"/>
        <rFont val="Arial"/>
        <family val="2"/>
      </rPr>
      <t>Pt</t>
    </r>
    <r>
      <rPr>
        <vertAlign val="subscript"/>
        <sz val="14"/>
        <rFont val="Arial"/>
        <family val="2"/>
      </rPr>
      <t>x</t>
    </r>
    <r>
      <rPr>
        <sz val="14"/>
        <rFont val="Arial"/>
        <family val="2"/>
      </rPr>
      <t>)(t</t>
    </r>
    <r>
      <rPr>
        <vertAlign val="subscript"/>
        <sz val="14"/>
        <rFont val="Arial"/>
        <family val="2"/>
      </rPr>
      <t>PtoF</t>
    </r>
    <r>
      <rPr>
        <sz val="14"/>
        <rFont val="Arial"/>
        <family val="2"/>
      </rPr>
      <t>)</t>
    </r>
  </si>
  <si>
    <t># of prodromals remaining after # seeking trtmnt and transitions to fulminant removed</t>
  </si>
  <si>
    <r>
      <t>#</t>
    </r>
    <r>
      <rPr>
        <vertAlign val="subscript"/>
        <sz val="14"/>
        <rFont val="Arial"/>
        <family val="2"/>
      </rPr>
      <t>x*</t>
    </r>
  </si>
  <si>
    <r>
      <t>#</t>
    </r>
    <r>
      <rPr>
        <vertAlign val="subscript"/>
        <sz val="14"/>
        <rFont val="Arial"/>
        <family val="2"/>
      </rPr>
      <t>x</t>
    </r>
    <r>
      <rPr>
        <sz val="14"/>
        <rFont val="Arial"/>
        <family val="2"/>
      </rPr>
      <t>+Rp</t>
    </r>
    <r>
      <rPr>
        <vertAlign val="subscript"/>
        <sz val="14"/>
        <rFont val="Arial"/>
        <family val="2"/>
      </rPr>
      <t>x-1</t>
    </r>
  </si>
  <si>
    <r>
      <t>(#</t>
    </r>
    <r>
      <rPr>
        <vertAlign val="subscript"/>
        <sz val="14"/>
        <rFont val="Arial"/>
        <family val="2"/>
      </rPr>
      <t>x*</t>
    </r>
    <r>
      <rPr>
        <sz val="14"/>
        <rFont val="Arial"/>
        <family val="2"/>
      </rPr>
      <t>)(t</t>
    </r>
    <r>
      <rPr>
        <vertAlign val="subscript"/>
        <sz val="14"/>
        <rFont val="Arial"/>
        <family val="2"/>
      </rPr>
      <t>PtoF</t>
    </r>
    <r>
      <rPr>
        <sz val="14"/>
        <rFont val="Arial"/>
        <family val="2"/>
      </rPr>
      <t>)</t>
    </r>
  </si>
  <si>
    <r>
      <t># of new fulminants (</t>
    </r>
    <r>
      <rPr>
        <u/>
        <sz val="10"/>
        <rFont val="Arial"/>
        <family val="2"/>
      </rPr>
      <t>treatment status, not yet defined)</t>
    </r>
  </si>
  <si>
    <r>
      <t>s</t>
    </r>
    <r>
      <rPr>
        <sz val="10"/>
        <rFont val="Arial"/>
        <family val="2"/>
      </rPr>
      <t>p</t>
    </r>
    <r>
      <rPr>
        <vertAlign val="subscript"/>
        <sz val="14"/>
        <rFont val="Arial"/>
        <family val="2"/>
      </rPr>
      <t>x</t>
    </r>
  </si>
  <si>
    <r>
      <t>s</t>
    </r>
    <r>
      <rPr>
        <sz val="10"/>
        <rFont val="Arial"/>
        <family val="2"/>
      </rPr>
      <t>f</t>
    </r>
    <r>
      <rPr>
        <vertAlign val="subscript"/>
        <sz val="14"/>
        <rFont val="Arial"/>
        <family val="2"/>
      </rPr>
      <t>x</t>
    </r>
  </si>
  <si>
    <t># of prodromals seeking treatment</t>
  </si>
  <si>
    <t>probability of prodromals seeking treatment</t>
  </si>
  <si>
    <t>probability of fulminants seeking treatment</t>
  </si>
  <si>
    <t># fulminant seeking treatment</t>
  </si>
  <si>
    <r>
      <t>fulminants</t>
    </r>
    <r>
      <rPr>
        <u/>
        <sz val="10"/>
        <rFont val="Arial"/>
        <family val="2"/>
      </rPr>
      <t xml:space="preserve"> </t>
    </r>
    <r>
      <rPr>
        <sz val="10"/>
        <rFont val="Arial"/>
        <family val="2"/>
      </rPr>
      <t xml:space="preserve">not in treatment = </t>
    </r>
    <r>
      <rPr>
        <u/>
        <sz val="10"/>
        <rFont val="Arial"/>
        <family val="2"/>
      </rPr>
      <t># untreated new Deaths</t>
    </r>
  </si>
  <si>
    <r>
      <rPr>
        <sz val="18"/>
        <rFont val="Arial"/>
        <family val="2"/>
      </rPr>
      <t>D</t>
    </r>
    <r>
      <rPr>
        <sz val="12"/>
        <rFont val="Arial"/>
        <family val="2"/>
      </rPr>
      <t>un</t>
    </r>
    <r>
      <rPr>
        <vertAlign val="subscript"/>
        <sz val="14"/>
        <rFont val="Arial"/>
        <family val="2"/>
      </rPr>
      <t>t(x)</t>
    </r>
  </si>
  <si>
    <r>
      <t>f</t>
    </r>
    <r>
      <rPr>
        <sz val="10"/>
        <rFont val="Arial"/>
        <family val="2"/>
      </rPr>
      <t>n</t>
    </r>
    <r>
      <rPr>
        <vertAlign val="subscript"/>
        <sz val="14"/>
        <rFont val="Arial"/>
        <family val="2"/>
      </rPr>
      <t>x</t>
    </r>
  </si>
  <si>
    <r>
      <t>[(#</t>
    </r>
    <r>
      <rPr>
        <vertAlign val="subscript"/>
        <sz val="14"/>
        <rFont val="Arial"/>
        <family val="2"/>
      </rPr>
      <t>x*</t>
    </r>
    <r>
      <rPr>
        <sz val="14"/>
        <rFont val="Arial"/>
        <family val="2"/>
      </rPr>
      <t>)-(f</t>
    </r>
    <r>
      <rPr>
        <sz val="10"/>
        <rFont val="Arial"/>
        <family val="2"/>
      </rPr>
      <t>n</t>
    </r>
    <r>
      <rPr>
        <vertAlign val="subscript"/>
        <sz val="14"/>
        <rFont val="Arial"/>
        <family val="2"/>
      </rPr>
      <t>x</t>
    </r>
    <r>
      <rPr>
        <sz val="14"/>
        <rFont val="Arial"/>
        <family val="2"/>
      </rPr>
      <t>)]s</t>
    </r>
    <r>
      <rPr>
        <sz val="10"/>
        <rFont val="Arial"/>
        <family val="2"/>
      </rPr>
      <t>p</t>
    </r>
    <r>
      <rPr>
        <vertAlign val="subscript"/>
        <sz val="14"/>
        <rFont val="Arial"/>
        <family val="2"/>
      </rPr>
      <t>x</t>
    </r>
  </si>
  <si>
    <r>
      <t>P</t>
    </r>
    <r>
      <rPr>
        <sz val="10"/>
        <rFont val="Arial"/>
        <family val="2"/>
      </rPr>
      <t>t</t>
    </r>
    <r>
      <rPr>
        <vertAlign val="subscript"/>
        <sz val="14"/>
        <rFont val="Arial"/>
        <family val="2"/>
      </rPr>
      <t>x</t>
    </r>
  </si>
  <si>
    <r>
      <t>(P</t>
    </r>
    <r>
      <rPr>
        <sz val="10"/>
        <rFont val="Arial"/>
        <family val="2"/>
      </rPr>
      <t>t</t>
    </r>
    <r>
      <rPr>
        <vertAlign val="subscript"/>
        <sz val="14"/>
        <rFont val="Arial"/>
        <family val="2"/>
      </rPr>
      <t>x</t>
    </r>
    <r>
      <rPr>
        <sz val="14"/>
        <rFont val="Arial"/>
        <family val="2"/>
      </rPr>
      <t>)(l</t>
    </r>
    <r>
      <rPr>
        <vertAlign val="subscript"/>
        <sz val="14"/>
        <rFont val="Arial"/>
        <family val="2"/>
      </rPr>
      <t>Pt</t>
    </r>
    <r>
      <rPr>
        <sz val="14"/>
        <rFont val="Arial"/>
        <family val="2"/>
      </rPr>
      <t>)</t>
    </r>
  </si>
  <si>
    <r>
      <t>(P</t>
    </r>
    <r>
      <rPr>
        <sz val="10"/>
        <rFont val="Arial"/>
        <family val="2"/>
      </rPr>
      <t>t</t>
    </r>
    <r>
      <rPr>
        <vertAlign val="subscript"/>
        <sz val="14"/>
        <rFont val="Arial"/>
        <family val="2"/>
      </rPr>
      <t>x</t>
    </r>
    <r>
      <rPr>
        <sz val="14"/>
        <rFont val="Arial"/>
        <family val="2"/>
      </rPr>
      <t>)(1-l</t>
    </r>
    <r>
      <rPr>
        <vertAlign val="subscript"/>
        <sz val="14"/>
        <rFont val="Arial"/>
        <family val="2"/>
      </rPr>
      <t>Pt</t>
    </r>
    <r>
      <rPr>
        <sz val="14"/>
        <rFont val="Arial"/>
        <family val="2"/>
      </rPr>
      <t>)</t>
    </r>
  </si>
  <si>
    <r>
      <t>#</t>
    </r>
    <r>
      <rPr>
        <vertAlign val="subscript"/>
        <sz val="14"/>
        <rFont val="Arial"/>
        <family val="2"/>
      </rPr>
      <t>x*</t>
    </r>
    <r>
      <rPr>
        <sz val="14"/>
        <rFont val="Arial"/>
        <family val="2"/>
      </rPr>
      <t>-f</t>
    </r>
    <r>
      <rPr>
        <sz val="10"/>
        <rFont val="Arial"/>
        <family val="2"/>
      </rPr>
      <t>n</t>
    </r>
    <r>
      <rPr>
        <vertAlign val="subscript"/>
        <sz val="14"/>
        <rFont val="Arial"/>
        <family val="2"/>
      </rPr>
      <t>x</t>
    </r>
    <r>
      <rPr>
        <sz val="14"/>
        <rFont val="Arial"/>
        <family val="2"/>
      </rPr>
      <t>-P</t>
    </r>
    <r>
      <rPr>
        <sz val="10"/>
        <rFont val="Arial"/>
        <family val="2"/>
      </rPr>
      <t>t</t>
    </r>
    <r>
      <rPr>
        <vertAlign val="subscript"/>
        <sz val="14"/>
        <rFont val="Arial"/>
        <family val="2"/>
      </rPr>
      <t>x</t>
    </r>
    <r>
      <rPr>
        <sz val="14"/>
        <rFont val="Arial"/>
        <family val="2"/>
      </rPr>
      <t/>
    </r>
  </si>
  <si>
    <r>
      <t>(f</t>
    </r>
    <r>
      <rPr>
        <sz val="10"/>
        <rFont val="Arial"/>
        <family val="2"/>
      </rPr>
      <t>n</t>
    </r>
    <r>
      <rPr>
        <vertAlign val="subscript"/>
        <sz val="14"/>
        <rFont val="Arial"/>
        <family val="2"/>
      </rPr>
      <t>x</t>
    </r>
    <r>
      <rPr>
        <sz val="14"/>
        <rFont val="Arial"/>
        <family val="2"/>
      </rPr>
      <t>)(s</t>
    </r>
    <r>
      <rPr>
        <sz val="10"/>
        <rFont val="Arial"/>
        <family val="2"/>
      </rPr>
      <t>f</t>
    </r>
    <r>
      <rPr>
        <vertAlign val="subscript"/>
        <sz val="14"/>
        <rFont val="Arial"/>
        <family val="2"/>
      </rPr>
      <t>x</t>
    </r>
    <r>
      <rPr>
        <sz val="14"/>
        <rFont val="Arial"/>
        <family val="2"/>
      </rPr>
      <t>)</t>
    </r>
  </si>
  <si>
    <r>
      <t>F</t>
    </r>
    <r>
      <rPr>
        <sz val="10"/>
        <rFont val="Arial"/>
        <family val="2"/>
      </rPr>
      <t>t</t>
    </r>
    <r>
      <rPr>
        <vertAlign val="subscript"/>
        <sz val="14"/>
        <rFont val="Arial"/>
        <family val="2"/>
      </rPr>
      <t>x</t>
    </r>
  </si>
  <si>
    <r>
      <t>f</t>
    </r>
    <r>
      <rPr>
        <sz val="10"/>
        <rFont val="Arial"/>
        <family val="2"/>
      </rPr>
      <t>n</t>
    </r>
    <r>
      <rPr>
        <vertAlign val="subscript"/>
        <sz val="14"/>
        <rFont val="Arial"/>
        <family val="2"/>
      </rPr>
      <t>x</t>
    </r>
    <r>
      <rPr>
        <sz val="14"/>
        <rFont val="Arial"/>
        <family val="2"/>
      </rPr>
      <t>-F</t>
    </r>
    <r>
      <rPr>
        <sz val="10"/>
        <rFont val="Arial"/>
        <family val="2"/>
      </rPr>
      <t>t</t>
    </r>
    <r>
      <rPr>
        <vertAlign val="subscript"/>
        <sz val="14"/>
        <rFont val="Arial"/>
        <family val="2"/>
      </rPr>
      <t>x</t>
    </r>
  </si>
  <si>
    <r>
      <t>(F</t>
    </r>
    <r>
      <rPr>
        <sz val="10"/>
        <rFont val="Arial"/>
        <family val="2"/>
      </rPr>
      <t>t</t>
    </r>
    <r>
      <rPr>
        <vertAlign val="subscript"/>
        <sz val="14"/>
        <rFont val="Arial"/>
        <family val="2"/>
      </rPr>
      <t>x</t>
    </r>
    <r>
      <rPr>
        <sz val="14"/>
        <rFont val="Arial"/>
        <family val="2"/>
      </rPr>
      <t>)(l</t>
    </r>
    <r>
      <rPr>
        <vertAlign val="subscript"/>
        <sz val="14"/>
        <rFont val="Arial"/>
        <family val="2"/>
      </rPr>
      <t>Ft</t>
    </r>
    <r>
      <rPr>
        <sz val="14"/>
        <rFont val="Arial"/>
        <family val="2"/>
      </rPr>
      <t>)</t>
    </r>
  </si>
  <si>
    <r>
      <t>(F</t>
    </r>
    <r>
      <rPr>
        <sz val="10"/>
        <rFont val="Arial"/>
        <family val="2"/>
      </rPr>
      <t>t</t>
    </r>
    <r>
      <rPr>
        <vertAlign val="subscript"/>
        <sz val="14"/>
        <rFont val="Arial"/>
        <family val="2"/>
      </rPr>
      <t>x</t>
    </r>
    <r>
      <rPr>
        <sz val="14"/>
        <rFont val="Arial"/>
        <family val="2"/>
      </rPr>
      <t>)(1-l</t>
    </r>
    <r>
      <rPr>
        <vertAlign val="subscript"/>
        <sz val="14"/>
        <rFont val="Arial"/>
        <family val="2"/>
      </rPr>
      <t>Ft</t>
    </r>
    <r>
      <rPr>
        <sz val="14"/>
        <rFont val="Arial"/>
        <family val="2"/>
      </rPr>
      <t>)</t>
    </r>
  </si>
  <si>
    <r>
      <t xml:space="preserve">new Deaths among those </t>
    </r>
    <r>
      <rPr>
        <u/>
        <sz val="10"/>
        <rFont val="Arial"/>
        <family val="2"/>
      </rPr>
      <t>in treatment (irrespective of stage trtment started)</t>
    </r>
  </si>
  <si>
    <r>
      <t xml:space="preserve"># of fulminants transitioning to </t>
    </r>
    <r>
      <rPr>
        <u/>
        <sz val="10"/>
        <color rgb="FF0070C0"/>
        <rFont val="Arial"/>
        <family val="2"/>
      </rPr>
      <t>Saved</t>
    </r>
    <r>
      <rPr>
        <sz val="10"/>
        <color rgb="FF0070C0"/>
        <rFont val="Arial"/>
        <family val="2"/>
      </rPr>
      <t xml:space="preserve"> that started</t>
    </r>
    <r>
      <rPr>
        <u/>
        <sz val="10"/>
        <color rgb="FF0070C0"/>
        <rFont val="Arial"/>
        <family val="2"/>
      </rPr>
      <t xml:space="preserve"> treatment</t>
    </r>
    <r>
      <rPr>
        <sz val="10"/>
        <color rgb="FF0070C0"/>
        <rFont val="Arial"/>
        <family val="2"/>
      </rPr>
      <t xml:space="preserve"> in fulminant stage</t>
    </r>
  </si>
  <si>
    <r>
      <t xml:space="preserve"># of fulminants transitioning to </t>
    </r>
    <r>
      <rPr>
        <u/>
        <sz val="10"/>
        <color rgb="FFFF0000"/>
        <rFont val="Arial"/>
        <family val="2"/>
      </rPr>
      <t>Death</t>
    </r>
    <r>
      <rPr>
        <sz val="10"/>
        <color rgb="FFFF0000"/>
        <rFont val="Arial"/>
        <family val="2"/>
      </rPr>
      <t xml:space="preserve"> that started</t>
    </r>
    <r>
      <rPr>
        <u/>
        <sz val="10"/>
        <color rgb="FFFF0000"/>
        <rFont val="Arial"/>
        <family val="2"/>
      </rPr>
      <t xml:space="preserve"> treatment</t>
    </r>
    <r>
      <rPr>
        <sz val="10"/>
        <color rgb="FFFF0000"/>
        <rFont val="Arial"/>
        <family val="2"/>
      </rPr>
      <t xml:space="preserve"> in fulminant stage</t>
    </r>
  </si>
  <si>
    <r>
      <t xml:space="preserve"># of fulminants transitioning to </t>
    </r>
    <r>
      <rPr>
        <u/>
        <sz val="10"/>
        <color rgb="FFFF0000"/>
        <rFont val="Arial"/>
        <family val="2"/>
      </rPr>
      <t>Death</t>
    </r>
    <r>
      <rPr>
        <sz val="10"/>
        <color rgb="FFFF0000"/>
        <rFont val="Arial"/>
        <family val="2"/>
      </rPr>
      <t xml:space="preserve"> that started</t>
    </r>
    <r>
      <rPr>
        <u/>
        <sz val="10"/>
        <color rgb="FFFF0000"/>
        <rFont val="Arial"/>
        <family val="2"/>
      </rPr>
      <t xml:space="preserve"> treatment</t>
    </r>
    <r>
      <rPr>
        <sz val="10"/>
        <color rgb="FFFF0000"/>
        <rFont val="Arial"/>
        <family val="2"/>
      </rPr>
      <t xml:space="preserve"> in prodromal stage</t>
    </r>
  </si>
  <si>
    <r>
      <rPr>
        <sz val="16"/>
        <rFont val="Arial"/>
        <family val="2"/>
      </rPr>
      <t>L</t>
    </r>
    <r>
      <rPr>
        <sz val="11"/>
        <rFont val="Arial"/>
        <family val="2"/>
      </rPr>
      <t>Ft</t>
    </r>
    <r>
      <rPr>
        <vertAlign val="subscript"/>
        <sz val="11"/>
        <rFont val="Arial"/>
        <family val="2"/>
      </rPr>
      <t>x</t>
    </r>
  </si>
  <si>
    <r>
      <rPr>
        <sz val="16"/>
        <rFont val="Arial"/>
        <family val="2"/>
      </rPr>
      <t>D</t>
    </r>
    <r>
      <rPr>
        <sz val="11"/>
        <rFont val="Arial"/>
        <family val="2"/>
      </rPr>
      <t>Ft</t>
    </r>
    <r>
      <rPr>
        <vertAlign val="subscript"/>
        <sz val="11"/>
        <rFont val="Arial"/>
        <family val="2"/>
      </rPr>
      <t>x</t>
    </r>
  </si>
  <si>
    <r>
      <rPr>
        <sz val="18"/>
        <rFont val="Arial"/>
        <family val="2"/>
      </rPr>
      <t>D</t>
    </r>
    <r>
      <rPr>
        <sz val="11"/>
        <rFont val="Arial"/>
        <family val="2"/>
      </rPr>
      <t>FD</t>
    </r>
    <r>
      <rPr>
        <vertAlign val="subscript"/>
        <sz val="11"/>
        <rFont val="Arial"/>
        <family val="2"/>
      </rPr>
      <t>F</t>
    </r>
    <r>
      <rPr>
        <vertAlign val="subscript"/>
        <sz val="14"/>
        <rFont val="Arial"/>
        <family val="2"/>
      </rPr>
      <t>t(x)</t>
    </r>
  </si>
  <si>
    <r>
      <rPr>
        <sz val="18"/>
        <rFont val="Arial"/>
        <family val="2"/>
      </rPr>
      <t>D</t>
    </r>
    <r>
      <rPr>
        <sz val="11"/>
        <rFont val="Arial"/>
        <family val="2"/>
      </rPr>
      <t>FD</t>
    </r>
    <r>
      <rPr>
        <vertAlign val="subscript"/>
        <sz val="11"/>
        <rFont val="Arial"/>
        <family val="2"/>
      </rPr>
      <t>P</t>
    </r>
    <r>
      <rPr>
        <vertAlign val="subscript"/>
        <sz val="14"/>
        <rFont val="Arial"/>
        <family val="2"/>
      </rPr>
      <t>t(x)</t>
    </r>
  </si>
  <si>
    <r>
      <t xml:space="preserve"># of prodromals </t>
    </r>
    <r>
      <rPr>
        <u/>
        <sz val="10"/>
        <rFont val="Arial"/>
        <family val="2"/>
      </rPr>
      <t>in treatment</t>
    </r>
    <r>
      <rPr>
        <sz val="10"/>
        <rFont val="Arial"/>
        <family val="2"/>
      </rPr>
      <t xml:space="preserve"> transitioning to fulminant who will</t>
    </r>
    <r>
      <rPr>
        <u/>
        <sz val="10"/>
        <rFont val="Arial"/>
        <family val="2"/>
      </rPr>
      <t xml:space="preserve"> Die</t>
    </r>
  </si>
  <si>
    <t>all new Deaths</t>
  </si>
  <si>
    <r>
      <rPr>
        <sz val="18"/>
        <rFont val="Arial"/>
        <family val="2"/>
      </rPr>
      <t>D</t>
    </r>
    <r>
      <rPr>
        <sz val="11"/>
        <rFont val="Arial"/>
        <family val="2"/>
      </rPr>
      <t>FD</t>
    </r>
    <r>
      <rPr>
        <vertAlign val="subscript"/>
        <sz val="11"/>
        <rFont val="Arial"/>
        <family val="2"/>
      </rPr>
      <t>F</t>
    </r>
    <r>
      <rPr>
        <vertAlign val="subscript"/>
        <sz val="14"/>
        <rFont val="Arial"/>
        <family val="2"/>
      </rPr>
      <t>t(x)</t>
    </r>
    <r>
      <rPr>
        <sz val="14"/>
        <rFont val="Arial"/>
        <family val="2"/>
      </rPr>
      <t>+</t>
    </r>
    <r>
      <rPr>
        <sz val="16"/>
        <rFont val="Arial"/>
        <family val="2"/>
      </rPr>
      <t>D</t>
    </r>
    <r>
      <rPr>
        <sz val="11"/>
        <rFont val="Arial"/>
        <family val="2"/>
      </rPr>
      <t>FD</t>
    </r>
    <r>
      <rPr>
        <vertAlign val="subscript"/>
        <sz val="14"/>
        <rFont val="Arial"/>
        <family val="2"/>
      </rPr>
      <t>Pt(x)</t>
    </r>
  </si>
  <si>
    <r>
      <rPr>
        <sz val="16"/>
        <rFont val="Arial"/>
        <family val="2"/>
      </rPr>
      <t>D</t>
    </r>
    <r>
      <rPr>
        <sz val="10"/>
        <rFont val="Arial"/>
        <family val="2"/>
      </rPr>
      <t>t</t>
    </r>
    <r>
      <rPr>
        <vertAlign val="subscript"/>
        <sz val="10"/>
        <rFont val="Arial"/>
        <family val="2"/>
      </rPr>
      <t>(x)</t>
    </r>
    <r>
      <rPr>
        <sz val="14"/>
        <rFont val="Arial"/>
        <family val="2"/>
      </rPr>
      <t>+</t>
    </r>
    <r>
      <rPr>
        <sz val="16"/>
        <rFont val="Arial"/>
        <family val="2"/>
      </rPr>
      <t>D</t>
    </r>
    <r>
      <rPr>
        <sz val="11"/>
        <rFont val="Arial"/>
        <family val="2"/>
      </rPr>
      <t>un</t>
    </r>
    <r>
      <rPr>
        <vertAlign val="subscript"/>
        <sz val="10"/>
        <rFont val="Arial"/>
        <family val="2"/>
      </rPr>
      <t>t(x)</t>
    </r>
  </si>
  <si>
    <r>
      <rPr>
        <sz val="16"/>
        <rFont val="Arial"/>
        <family val="2"/>
      </rPr>
      <t>(L</t>
    </r>
    <r>
      <rPr>
        <sz val="11"/>
        <rFont val="Arial"/>
        <family val="2"/>
      </rPr>
      <t>Ft</t>
    </r>
    <r>
      <rPr>
        <vertAlign val="subscript"/>
        <sz val="11"/>
        <rFont val="Arial"/>
        <family val="2"/>
      </rPr>
      <t>x</t>
    </r>
    <r>
      <rPr>
        <sz val="16"/>
        <rFont val="Arial"/>
        <family val="2"/>
      </rPr>
      <t>)(t</t>
    </r>
    <r>
      <rPr>
        <vertAlign val="subscript"/>
        <sz val="14"/>
        <rFont val="Arial"/>
        <family val="2"/>
      </rPr>
      <t>FtoL</t>
    </r>
    <r>
      <rPr>
        <sz val="16"/>
        <rFont val="Arial"/>
        <family val="2"/>
      </rPr>
      <t>)</t>
    </r>
  </si>
  <si>
    <r>
      <rPr>
        <sz val="18"/>
        <rFont val="Arial"/>
        <family val="2"/>
      </rPr>
      <t>L</t>
    </r>
    <r>
      <rPr>
        <sz val="11"/>
        <rFont val="Arial"/>
        <family val="2"/>
      </rPr>
      <t>FL</t>
    </r>
    <r>
      <rPr>
        <vertAlign val="subscript"/>
        <sz val="11"/>
        <rFont val="Arial"/>
        <family val="2"/>
      </rPr>
      <t>F</t>
    </r>
    <r>
      <rPr>
        <vertAlign val="subscript"/>
        <sz val="14"/>
        <rFont val="Arial"/>
        <family val="2"/>
      </rPr>
      <t>t(x)</t>
    </r>
  </si>
  <si>
    <r>
      <rPr>
        <sz val="18"/>
        <rFont val="Arial"/>
        <family val="2"/>
      </rPr>
      <t>L</t>
    </r>
    <r>
      <rPr>
        <sz val="11"/>
        <rFont val="Arial"/>
        <family val="2"/>
      </rPr>
      <t>FL</t>
    </r>
    <r>
      <rPr>
        <vertAlign val="subscript"/>
        <sz val="11"/>
        <rFont val="Arial"/>
        <family val="2"/>
      </rPr>
      <t>P</t>
    </r>
    <r>
      <rPr>
        <vertAlign val="subscript"/>
        <sz val="14"/>
        <rFont val="Arial"/>
        <family val="2"/>
      </rPr>
      <t>t(x)</t>
    </r>
  </si>
  <si>
    <r>
      <rPr>
        <sz val="16"/>
        <rFont val="Arial"/>
        <family val="2"/>
      </rPr>
      <t>(L</t>
    </r>
    <r>
      <rPr>
        <sz val="10"/>
        <rFont val="Arial"/>
        <family val="2"/>
      </rPr>
      <t>P</t>
    </r>
    <r>
      <rPr>
        <vertAlign val="subscript"/>
        <sz val="16"/>
        <rFont val="Arial"/>
        <family val="2"/>
      </rPr>
      <t>t(x)</t>
    </r>
    <r>
      <rPr>
        <sz val="16"/>
        <rFont val="Arial"/>
        <family val="2"/>
      </rPr>
      <t>)(t</t>
    </r>
    <r>
      <rPr>
        <vertAlign val="subscript"/>
        <sz val="14"/>
        <rFont val="Arial"/>
        <family val="2"/>
      </rPr>
      <t>FtoL</t>
    </r>
    <r>
      <rPr>
        <sz val="16"/>
        <rFont val="Arial"/>
        <family val="2"/>
      </rPr>
      <t>)</t>
    </r>
  </si>
  <si>
    <t>"unlimited resources" setting used now</t>
  </si>
  <si>
    <r>
      <rPr>
        <sz val="18"/>
        <rFont val="Arial"/>
        <family val="2"/>
      </rPr>
      <t>L</t>
    </r>
    <r>
      <rPr>
        <sz val="11"/>
        <rFont val="Arial"/>
        <family val="2"/>
      </rPr>
      <t>FL</t>
    </r>
    <r>
      <rPr>
        <vertAlign val="subscript"/>
        <sz val="11"/>
        <rFont val="Arial"/>
        <family val="2"/>
      </rPr>
      <t>F</t>
    </r>
    <r>
      <rPr>
        <vertAlign val="subscript"/>
        <sz val="14"/>
        <rFont val="Arial"/>
        <family val="2"/>
      </rPr>
      <t>t(x)</t>
    </r>
    <r>
      <rPr>
        <sz val="14"/>
        <rFont val="Arial"/>
        <family val="2"/>
      </rPr>
      <t>+</t>
    </r>
    <r>
      <rPr>
        <sz val="18"/>
        <rFont val="Arial"/>
        <family val="2"/>
      </rPr>
      <t>L</t>
    </r>
    <r>
      <rPr>
        <sz val="11"/>
        <rFont val="Arial"/>
        <family val="2"/>
      </rPr>
      <t>FL</t>
    </r>
    <r>
      <rPr>
        <vertAlign val="subscript"/>
        <sz val="14"/>
        <rFont val="Arial"/>
        <family val="2"/>
      </rPr>
      <t>Pt(x)</t>
    </r>
  </si>
  <si>
    <r>
      <rPr>
        <sz val="16"/>
        <rFont val="Arial"/>
        <family val="2"/>
      </rPr>
      <t>D</t>
    </r>
    <r>
      <rPr>
        <vertAlign val="subscript"/>
        <sz val="14"/>
        <rFont val="Arial"/>
        <family val="2"/>
      </rPr>
      <t>(x)</t>
    </r>
  </si>
  <si>
    <r>
      <rPr>
        <sz val="16"/>
        <rFont val="Arial"/>
        <family val="2"/>
      </rPr>
      <t>D</t>
    </r>
    <r>
      <rPr>
        <sz val="11"/>
        <rFont val="Arial"/>
        <family val="2"/>
      </rPr>
      <t>t</t>
    </r>
    <r>
      <rPr>
        <vertAlign val="subscript"/>
        <sz val="11"/>
        <rFont val="Arial"/>
        <family val="2"/>
      </rPr>
      <t>(x)</t>
    </r>
  </si>
  <si>
    <r>
      <rPr>
        <sz val="16"/>
        <rFont val="Arial"/>
        <family val="2"/>
      </rPr>
      <t>L</t>
    </r>
    <r>
      <rPr>
        <vertAlign val="subscript"/>
        <sz val="16"/>
        <rFont val="Arial"/>
        <family val="2"/>
      </rPr>
      <t>(x)</t>
    </r>
  </si>
  <si>
    <r>
      <t xml:space="preserve">daily tally of prodromals </t>
    </r>
    <r>
      <rPr>
        <u/>
        <sz val="10"/>
        <rFont val="Arial"/>
        <family val="2"/>
      </rPr>
      <t>not in treatment</t>
    </r>
    <r>
      <rPr>
        <sz val="10"/>
        <rFont val="Arial"/>
        <family val="2"/>
      </rPr>
      <t xml:space="preserve"> (i.e. at home and symptomatic)</t>
    </r>
  </si>
  <si>
    <r>
      <t xml:space="preserve"># of new prodromals seeking treatment who will eventually be </t>
    </r>
    <r>
      <rPr>
        <u/>
        <sz val="10"/>
        <rFont val="Arial"/>
        <family val="2"/>
      </rPr>
      <t>Saved</t>
    </r>
  </si>
  <si>
    <r>
      <t xml:space="preserve"># of new prodromals seeking treatment who will eventually </t>
    </r>
    <r>
      <rPr>
        <u/>
        <sz val="10"/>
        <rFont val="Arial"/>
        <family val="2"/>
      </rPr>
      <t>Die</t>
    </r>
  </si>
  <si>
    <r>
      <t xml:space="preserve"># of new fulminants seeking treatment who will eventually be </t>
    </r>
    <r>
      <rPr>
        <u/>
        <sz val="10"/>
        <rFont val="Arial"/>
        <family val="2"/>
      </rPr>
      <t>Saved</t>
    </r>
  </si>
  <si>
    <r>
      <t xml:space="preserve"># of new fulminants seeking treatment who will eventualy </t>
    </r>
    <r>
      <rPr>
        <u/>
        <sz val="10"/>
        <rFont val="Arial"/>
        <family val="2"/>
      </rPr>
      <t>Die</t>
    </r>
  </si>
  <si>
    <r>
      <rPr>
        <sz val="16"/>
        <rFont val="Arial"/>
        <family val="2"/>
      </rPr>
      <t>(D</t>
    </r>
    <r>
      <rPr>
        <sz val="11"/>
        <rFont val="Arial"/>
        <family val="2"/>
      </rPr>
      <t>Ft</t>
    </r>
    <r>
      <rPr>
        <vertAlign val="subscript"/>
        <sz val="11"/>
        <rFont val="Arial"/>
        <family val="2"/>
      </rPr>
      <t>x-1</t>
    </r>
    <r>
      <rPr>
        <sz val="16"/>
        <rFont val="Arial"/>
        <family val="2"/>
      </rPr>
      <t>)(t</t>
    </r>
    <r>
      <rPr>
        <vertAlign val="subscript"/>
        <sz val="14"/>
        <rFont val="Arial"/>
        <family val="2"/>
      </rPr>
      <t>FtoD</t>
    </r>
    <r>
      <rPr>
        <sz val="16"/>
        <rFont val="Arial"/>
        <family val="2"/>
      </rPr>
      <t>)</t>
    </r>
  </si>
  <si>
    <r>
      <rPr>
        <sz val="16"/>
        <rFont val="Arial"/>
        <family val="2"/>
      </rPr>
      <t>(D</t>
    </r>
    <r>
      <rPr>
        <sz val="10"/>
        <rFont val="Arial"/>
        <family val="2"/>
      </rPr>
      <t>PF</t>
    </r>
    <r>
      <rPr>
        <vertAlign val="subscript"/>
        <sz val="16"/>
        <rFont val="Arial"/>
        <family val="2"/>
      </rPr>
      <t>t(x-1)</t>
    </r>
    <r>
      <rPr>
        <sz val="16"/>
        <rFont val="Arial"/>
        <family val="2"/>
      </rPr>
      <t>)(t</t>
    </r>
    <r>
      <rPr>
        <vertAlign val="subscript"/>
        <sz val="14"/>
        <rFont val="Arial"/>
        <family val="2"/>
      </rPr>
      <t>FtoD</t>
    </r>
    <r>
      <rPr>
        <sz val="16"/>
        <rFont val="Arial"/>
        <family val="2"/>
      </rPr>
      <t>)</t>
    </r>
  </si>
  <si>
    <t>cum fulminant</t>
  </si>
  <si>
    <t>cum prodromals having sought trtment</t>
  </si>
  <si>
    <r>
      <t>P</t>
    </r>
    <r>
      <rPr>
        <sz val="10"/>
        <rFont val="Arial"/>
        <family val="2"/>
      </rPr>
      <t>t</t>
    </r>
    <r>
      <rPr>
        <vertAlign val="subscript"/>
        <sz val="14"/>
        <rFont val="Arial"/>
        <family val="2"/>
      </rPr>
      <t>x</t>
    </r>
    <r>
      <rPr>
        <sz val="14"/>
        <rFont val="Arial"/>
        <family val="2"/>
      </rPr>
      <t>+F</t>
    </r>
    <r>
      <rPr>
        <sz val="10"/>
        <rFont val="Arial"/>
        <family val="2"/>
      </rPr>
      <t>t</t>
    </r>
    <r>
      <rPr>
        <vertAlign val="subscript"/>
        <sz val="14"/>
        <rFont val="Arial"/>
        <family val="2"/>
      </rPr>
      <t>x</t>
    </r>
  </si>
  <si>
    <t>probability of recovery</t>
  </si>
  <si>
    <t># entering trtment (both prodromal and fulminant)</t>
  </si>
  <si>
    <r>
      <t xml:space="preserve"># of fulminants transitioning to </t>
    </r>
    <r>
      <rPr>
        <u/>
        <sz val="10"/>
        <rFont val="Arial"/>
        <family val="2"/>
      </rPr>
      <t>Saved</t>
    </r>
    <r>
      <rPr>
        <sz val="10"/>
        <rFont val="Arial"/>
        <family val="2"/>
      </rPr>
      <t xml:space="preserve"> that started</t>
    </r>
    <r>
      <rPr>
        <u/>
        <sz val="10"/>
        <rFont val="Arial"/>
        <family val="2"/>
      </rPr>
      <t xml:space="preserve"> treatment</t>
    </r>
    <r>
      <rPr>
        <sz val="10"/>
        <rFont val="Arial"/>
        <family val="2"/>
      </rPr>
      <t xml:space="preserve"> in prodromal stage</t>
    </r>
  </si>
  <si>
    <t>cumulative deaths</t>
  </si>
  <si>
    <t>cum # of fulminants who live, arising from prodromals transitioning during treatment</t>
  </si>
  <si>
    <t>cum # of fulminants who will die, arising from prodromals transitioning during treatment</t>
  </si>
  <si>
    <t>cumulative # fulminant seeking treatment</t>
  </si>
  <si>
    <t># days in treatment until recovery</t>
  </si>
  <si>
    <t>cumulative saved by treatment (irrespective of stage trtment started</t>
  </si>
  <si>
    <t>cumulative deaths among those treated</t>
  </si>
  <si>
    <r>
      <rPr>
        <u/>
        <sz val="10"/>
        <rFont val="Arial"/>
        <family val="2"/>
      </rPr>
      <t xml:space="preserve">Saved by trtment </t>
    </r>
    <r>
      <rPr>
        <sz val="10"/>
        <rFont val="Arial"/>
        <family val="2"/>
      </rPr>
      <t>(irrespective of stage trtment started)</t>
    </r>
  </si>
  <si>
    <t>cumulative treated</t>
  </si>
  <si>
    <t>STEP 2) MAKE DECISIONS: PEP</t>
  </si>
  <si>
    <t>STEP 1.2)  SET
INCUBATION</t>
  </si>
  <si>
    <t>STEP 1.1)  ENTER
CASE COUNTS</t>
  </si>
  <si>
    <t>STEP 2.3)  INPUT 
CAMPAIGN LOGISTICS</t>
  </si>
  <si>
    <t>STEP 2.1)  MASS
PROPHYLAXIS GOAL</t>
  </si>
  <si>
    <t>STEP 1) INPUT DATA 
AND MAKE SCENARIO
ESTIMATES</t>
  </si>
  <si>
    <t>STEP 3.1) RELEASE TREATMENT GUIDANCE</t>
  </si>
  <si>
    <t>STEP 3) IMPACT ON HEALTHCARE</t>
  </si>
  <si>
    <t>STEP 3.2) TREATMENT EFFECTIVENESS</t>
  </si>
  <si>
    <t>STORYBOARD</t>
  </si>
  <si>
    <t>Hours since start time</t>
  </si>
  <si>
    <t>Date-Assignment Method</t>
  </si>
  <si>
    <t>*</t>
  </si>
  <si>
    <t>Default^</t>
  </si>
  <si>
    <t>^</t>
  </si>
  <si>
    <t>+</t>
  </si>
  <si>
    <t>Formulas for populating Graph titles:</t>
  </si>
  <si>
    <t>Number prophylaxed per day at full capacity</t>
  </si>
  <si>
    <t># of people to prophylax</t>
  </si>
  <si>
    <t>Campaign Duration (days) needed to achieve goal</t>
  </si>
  <si>
    <t>Describe how a PEP campaign would be implemented and specify parameters associated with PEP usage.</t>
  </si>
  <si>
    <t>Ramp-up period?*</t>
  </si>
  <si>
    <t>Incubation 
Period Parameters*</t>
  </si>
  <si>
    <t>Antibiotics-related Parameters</t>
  </si>
  <si>
    <t>Adherence to regimen at event's conclusion^</t>
  </si>
  <si>
    <r>
      <rPr>
        <b/>
        <u/>
        <sz val="10"/>
        <color rgb="FFC00000"/>
        <rFont val="Arial"/>
        <family val="2"/>
      </rPr>
      <t>DECISION</t>
    </r>
    <r>
      <rPr>
        <b/>
        <sz val="10"/>
        <color rgb="FFC00000"/>
        <rFont val="Arial"/>
        <family val="2"/>
      </rPr>
      <t xml:space="preserve">: </t>
    </r>
    <r>
      <rPr>
        <b/>
        <sz val="10"/>
        <rFont val="Arial"/>
        <family val="2"/>
      </rPr>
      <t>Begin Dispensing?</t>
    </r>
  </si>
  <si>
    <t>View PEP Impact Model</t>
  </si>
  <si>
    <t>Ramp-up Period?</t>
  </si>
  <si>
    <t>PEP duration (# days)</t>
  </si>
  <si>
    <t>% seeking PEP</t>
  </si>
  <si>
    <t>Specify the date public health issues a media announcement with treatment guidance and the associated treatment seeking behaviors among infected.</t>
  </si>
  <si>
    <t>Fulminant (late stage illness)</t>
  </si>
  <si>
    <t>Default = 3rd day of event</t>
  </si>
  <si>
    <t>Default*</t>
  </si>
  <si>
    <t>= day 3</t>
  </si>
  <si>
    <t>Specify the effectiveness of healthcare resources and values for parameters associated with disease progression.</t>
  </si>
  <si>
    <t>3.2.1</t>
  </si>
  <si>
    <t>3.2.2</t>
  </si>
  <si>
    <t>Early to Late Trans. Prob.</t>
  </si>
  <si>
    <t>Proportions of Disease Stage
(at time of treatment presentation)</t>
  </si>
  <si>
    <t>Date &amp; Time Counter-
measures Positioned?</t>
  </si>
  <si>
    <t xml:space="preserve">Projected total prophylaxed </t>
  </si>
  <si>
    <t>% of goal prophylaxed</t>
  </si>
  <si>
    <r>
      <t xml:space="preserve">Are Countermeasures </t>
    </r>
    <r>
      <rPr>
        <b/>
        <u/>
        <sz val="10"/>
        <rFont val="Arial"/>
        <family val="2"/>
      </rPr>
      <t>Pre</t>
    </r>
    <r>
      <rPr>
        <b/>
        <sz val="10"/>
        <rFont val="Arial"/>
        <family val="2"/>
      </rPr>
      <t>positioned?</t>
    </r>
  </si>
  <si>
    <t>preposition date option1</t>
  </si>
  <si>
    <t>preposition date option2</t>
  </si>
  <si>
    <t>Without PEP CAMPAIGN</t>
  </si>
  <si>
    <t>from Epi-Curve Model</t>
  </si>
  <si>
    <t>PEP averted deaths</t>
  </si>
  <si>
    <t>View Healthcare Model</t>
  </si>
  <si>
    <t>Total Hospitalizations</t>
  </si>
  <si>
    <t>Peak Bed Demand</t>
  </si>
  <si>
    <t>Treatment Load Peak</t>
  </si>
  <si>
    <t>mark peak treatment load day</t>
  </si>
  <si>
    <t>peak trtment day</t>
  </si>
  <si>
    <t>% of deaths prevented by PEP</t>
  </si>
  <si>
    <r>
      <t xml:space="preserve">daily tally of prodromals </t>
    </r>
    <r>
      <rPr>
        <u/>
        <sz val="10"/>
        <rFont val="Arial"/>
        <family val="2"/>
      </rPr>
      <t>not in treatment</t>
    </r>
    <r>
      <rPr>
        <sz val="10"/>
        <rFont val="Arial"/>
        <family val="2"/>
      </rPr>
      <t xml:space="preserve"> (e.g. symptomatic at home)</t>
    </r>
  </si>
  <si>
    <t>With PEP CAMPAIGN (when implemented, otherwise without)</t>
  </si>
  <si>
    <t>Reminder:</t>
  </si>
  <si>
    <t>date of 1st case=</t>
  </si>
  <si>
    <t>Method Totals</t>
  </si>
  <si>
    <t>Population of the impacted jurisdiction</t>
  </si>
  <si>
    <t>Return to 
Table of Contents</t>
  </si>
  <si>
    <t>This tool was developed with several distinguishing requirements:</t>
  </si>
  <si>
    <t>The tool has different uses depending on the phase of the event in which it is utilized:</t>
  </si>
  <si>
    <t>1. Days 1-3:</t>
  </si>
  <si>
    <t>-Project the maximal scope (#infected/deaths)</t>
  </si>
  <si>
    <r>
      <t xml:space="preserve">2. </t>
    </r>
    <r>
      <rPr>
        <sz val="10"/>
        <color rgb="FF000000"/>
        <rFont val="Arial"/>
        <family val="2"/>
      </rPr>
      <t>Days 3-5+:</t>
    </r>
  </si>
  <si>
    <t>-Better estimate of likely event trajectory and timing</t>
  </si>
  <si>
    <t>-Estimate post-exposure prophylaxis and hospital requirements</t>
  </si>
  <si>
    <t>Specify how a mass-prophylaxis campaign might be deployed and toggle between different decision options to evaluate their impact.</t>
  </si>
  <si>
    <t>Evaluate the event's impact on the healthcare system and toggle various treatment-related parameters to evaluate their impact.</t>
  </si>
  <si>
    <t>GETTING STARTED / INSTRUCTIONS</t>
  </si>
  <si>
    <r>
      <rPr>
        <u/>
        <sz val="12"/>
        <rFont val="Arial"/>
        <family val="2"/>
      </rPr>
      <t>Navigation</t>
    </r>
    <r>
      <rPr>
        <u/>
        <sz val="11"/>
        <rFont val="Arial"/>
        <family val="2"/>
      </rPr>
      <t>:</t>
    </r>
    <r>
      <rPr>
        <sz val="10"/>
        <rFont val="Arial"/>
        <family val="2"/>
      </rPr>
      <t xml:space="preserve"> 
Use the colored boxes with thick boundaries (usually at the top) of each page to move from one step to another.  An example of a group of navigation buttons are circled in the screen image below.</t>
    </r>
  </si>
  <si>
    <r>
      <rPr>
        <u/>
        <sz val="12"/>
        <rFont val="Arial"/>
        <family val="2"/>
      </rPr>
      <t>Technial Support</t>
    </r>
    <r>
      <rPr>
        <sz val="10"/>
        <rFont val="Arial"/>
        <family val="2"/>
      </rPr>
      <t>:
If you need technical support or would like to notify the authors of an error or issue with the tool, please contact</t>
    </r>
  </si>
  <si>
    <t>Gabriel Rainisch via e-mail at:</t>
  </si>
  <si>
    <t>Grainisch@cdc.gov</t>
  </si>
  <si>
    <t>Go to Timeline</t>
  </si>
  <si>
    <r>
      <rPr>
        <b/>
        <u/>
        <sz val="12"/>
        <color rgb="FFFF0000"/>
        <rFont val="Century Gothic"/>
        <family val="2"/>
      </rPr>
      <t>INSTRUCTIONS:</t>
    </r>
    <r>
      <rPr>
        <b/>
        <sz val="12"/>
        <rFont val="Century Gothic"/>
        <family val="2"/>
      </rPr>
      <t xml:space="preserve"> Click through the yellow boxes in each Step (identified by Red Font on the left side of the screen).</t>
    </r>
  </si>
  <si>
    <t>Step-by-step walkthrough of how to use the tool and contact information for obtaining technical support or issue reporting.</t>
  </si>
  <si>
    <t>A "ramp up period" is the number of days required to reach full throughput at a PEP Point-of-Dispensation (POD).  The PEP impact model divides the number of people which can be prophylaxed at full capacity by the # of days in the ramp-up-period, plus 1, in order to determine the daily increase in dispensation throughput until full-capacity is reached.  For example, if your campaign can prophylax 100,000 at full capacity and there are 2 ramp-up days, on day one of the campaign (the 1st ramp-up day) approximately 33,333 individuals would receive PEP [100,000 / 2 +1].  On the second ramp-up day 66,6666 receive PEP, and then on day 3, PODs are operating at full capacity, and 100,000 receive PEP per day going forward.</t>
  </si>
  <si>
    <r>
      <t>% of prohylaxis goal who seek PEP</t>
    </r>
    <r>
      <rPr>
        <b/>
        <vertAlign val="superscript"/>
        <sz val="10"/>
        <rFont val="Arial"/>
        <family val="2"/>
      </rPr>
      <t>§</t>
    </r>
  </si>
  <si>
    <t>§</t>
  </si>
  <si>
    <t>The PEP Impact Model assumes that the population identified as “potentially exposed” includes all infected individuals and both uninfected and infected individuals seek PEP equally.</t>
  </si>
  <si>
    <r>
      <t>Antibiotic Efficacy</t>
    </r>
    <r>
      <rPr>
        <b/>
        <vertAlign val="superscript"/>
        <sz val="10"/>
        <rFont val="Arial"/>
        <family val="2"/>
      </rPr>
      <t>ͻ</t>
    </r>
  </si>
  <si>
    <t>ͻ</t>
  </si>
  <si>
    <t>PEP Duration (#days) at full capacity</t>
  </si>
  <si>
    <t>selected method</t>
  </si>
  <si>
    <t>Case Count Assignment Method 2:</t>
  </si>
  <si>
    <t>=CASE_COUNTS!D10</t>
  </si>
  <si>
    <t>surveillance case-assignment method 1</t>
  </si>
  <si>
    <t>surveillance case-assignment method 2</t>
  </si>
  <si>
    <t>surveillance case-assignment method 3</t>
  </si>
  <si>
    <t>Estimate Summary of different surveillance counting methods.  Inc Dist=</t>
  </si>
  <si>
    <t xml:space="preserve">Median </t>
  </si>
  <si>
    <t>Low estimate</t>
  </si>
  <si>
    <t>High estimate</t>
  </si>
  <si>
    <t>method</t>
  </si>
  <si>
    <t>=CASE_COUNTS!C10</t>
  </si>
  <si>
    <t>=CASE_COUNTS!E10</t>
  </si>
  <si>
    <t xml:space="preserve">Selected Case Count Assignment Method: </t>
  </si>
  <si>
    <t>Case Count Assignment Method 1:</t>
  </si>
  <si>
    <t>Summary of Attack Size Estimates</t>
  </si>
  <si>
    <t xml:space="preserve">Median Attack Size </t>
  </si>
  <si>
    <t>Low estiamte</t>
  </si>
  <si>
    <t>Standard Deviation (days)</t>
  </si>
  <si>
    <r>
      <rPr>
        <b/>
        <u/>
        <sz val="10"/>
        <color rgb="FFC00000"/>
        <rFont val="Arial"/>
        <family val="2"/>
      </rPr>
      <t>DECISION</t>
    </r>
    <r>
      <rPr>
        <b/>
        <sz val="10"/>
        <color theme="1"/>
        <rFont val="Arial"/>
        <family val="2"/>
      </rPr>
      <t>: Date Public Health Messaging?</t>
    </r>
  </si>
  <si>
    <t xml:space="preserve">Proportion seeking Care before and after Public Health Messaging, by Disease Phase </t>
  </si>
  <si>
    <r>
      <rPr>
        <b/>
        <u/>
        <sz val="10"/>
        <rFont val="Arial"/>
        <family val="2"/>
      </rPr>
      <t>Prior</t>
    </r>
    <r>
      <rPr>
        <u/>
        <sz val="10"/>
        <rFont val="Arial"/>
        <family val="2"/>
      </rPr>
      <t xml:space="preserve"> to Messaging</t>
    </r>
  </si>
  <si>
    <r>
      <rPr>
        <b/>
        <u/>
        <sz val="10"/>
        <rFont val="Arial"/>
        <family val="2"/>
      </rPr>
      <t xml:space="preserve">After </t>
    </r>
    <r>
      <rPr>
        <u/>
        <sz val="10"/>
        <rFont val="Arial"/>
        <family val="2"/>
      </rPr>
      <t>Messaging</t>
    </r>
  </si>
  <si>
    <t>Avg.effectivenes spanning event's duration=</t>
  </si>
  <si>
    <t xml:space="preserve">Default High  </t>
  </si>
  <si>
    <t xml:space="preserve">Default Median  </t>
  </si>
  <si>
    <t>Distribution Median</t>
  </si>
  <si>
    <t>Distribution S.D.</t>
  </si>
  <si>
    <t>Default Low  Dose</t>
  </si>
  <si>
    <t>Median Dose</t>
  </si>
  <si>
    <t>High Dose</t>
  </si>
  <si>
    <t>Low Dose</t>
  </si>
  <si>
    <t>Standard Deviation*</t>
  </si>
  <si>
    <t>* calculated by taking the exponent of the value provided in Table 2 of the Wilkening, 2008. That table either incorrectly provided the natural log of the standard deviation or labeled it incorrectly.</t>
  </si>
  <si>
    <t>Default Parameter Values^</t>
  </si>
  <si>
    <t>Modified Brookmeyer-median</t>
  </si>
  <si>
    <t>Modified Brookmeyer - high</t>
  </si>
  <si>
    <t>Modified Brookmeyer - low</t>
  </si>
  <si>
    <t>Modified Brookmeyer attack size-Low</t>
  </si>
  <si>
    <t>Modified Brookmeyer attack size-High</t>
  </si>
  <si>
    <t>Modified Brookmeyer median attack size</t>
  </si>
  <si>
    <t>Mod.-Brookmeyer</t>
  </si>
  <si>
    <r>
      <rPr>
        <sz val="10"/>
        <color rgb="FFFF5050"/>
        <rFont val="Arial"/>
        <family val="2"/>
      </rPr>
      <t>INSTRUCTIONS:</t>
    </r>
    <r>
      <rPr>
        <sz val="10"/>
        <rFont val="Arial"/>
        <family val="2"/>
      </rPr>
      <t xml:space="preserve"> Select doseage values from the pulldown list in the green cells below (or use the default values to approximate the default Wilkening model as closely as possible). The associated Median &amp; Standard Deviations (from the table below) will be populated to the right of your selection.</t>
    </r>
  </si>
  <si>
    <t>na</t>
  </si>
  <si>
    <t>Median Estimate</t>
  </si>
  <si>
    <t>Sigma</t>
  </si>
  <si>
    <t>Parameter names/symbols</t>
  </si>
  <si>
    <t>Formulas (standard error)</t>
  </si>
  <si>
    <t>provided constant (+/- 1.4)</t>
  </si>
  <si>
    <t>provided constant (+/- 0.56)</t>
  </si>
  <si>
    <t>lung clearance rate constant, for median calculation (+/-0.25)</t>
  </si>
  <si>
    <t>lung clearance rate constant, for SD calculation (+/-0.11)</t>
  </si>
  <si>
    <t>Defaults*</t>
  </si>
  <si>
    <t>* As a reference, Wilkening calculation the following infectious dose (ID) values: 1)ID1.5/sverdlosk =2.4; 2)ID50 = 8000; 3)ID90 = 10,000,000</t>
  </si>
  <si>
    <t>Distribution median</t>
  </si>
  <si>
    <t>Distribution Stand. Dev.</t>
  </si>
  <si>
    <t>High Dose Estimate</t>
  </si>
  <si>
    <t>Low Dose Estimate</t>
  </si>
  <si>
    <t>Set at right (Defaults provided below green entry cells)</t>
  </si>
  <si>
    <t>User's selected method</t>
  </si>
  <si>
    <r>
      <t xml:space="preserve">method name:
</t>
    </r>
    <r>
      <rPr>
        <u/>
        <sz val="8"/>
        <rFont val="Arial"/>
        <family val="2"/>
      </rPr>
      <t>(from Case Counts column headers)</t>
    </r>
  </si>
  <si>
    <t>Inhaled spore count</t>
  </si>
  <si>
    <t>Dose</t>
  </si>
  <si>
    <t>This worksheet contains the calculations for two Inhalation Anthrax incubation distribution models: 1) Wilkening's 2006 lognormal model (below) and Wilkening's 2008 lognormal approximation of his modification of Brookmeyer et al.'s 2005 exponential, competing risks model (a.k.a. "Modified-Brookmeyer Model, to the right). Users can readily change the dose (i.e. spore counts) used by these two models found in light green-shaded cells. WARNING: Changing any other values or formulas may cause malfunctions or cause the tool to generate incorrect results.</t>
  </si>
  <si>
    <r>
      <t>Wilkening's 2006 Lognormal Model</t>
    </r>
    <r>
      <rPr>
        <b/>
        <vertAlign val="superscript"/>
        <sz val="12"/>
        <color theme="5" tint="-0.249977111117893"/>
        <rFont val="Arial"/>
        <family val="2"/>
      </rPr>
      <t>1</t>
    </r>
  </si>
  <si>
    <r>
      <t>Wilkening's 2008 "Modified-Brookmeyer" Model</t>
    </r>
    <r>
      <rPr>
        <b/>
        <vertAlign val="superscript"/>
        <sz val="12"/>
        <color theme="5" tint="-0.249977111117893"/>
        <rFont val="Arial"/>
        <family val="2"/>
      </rPr>
      <t>2</t>
    </r>
  </si>
  <si>
    <t>1 Taken from formula on supplement page 2 of Wilkening, D.A., Sverdlovsk revisited: modeling human inhalation anthrax. Proc Natl Acad Sci U S A, 2006. 103(20): p. 7589-94.</t>
  </si>
  <si>
    <t>References</t>
  </si>
  <si>
    <t>Dose Dependence for a Lognormal distribution equivalent to a competing risks model</t>
  </si>
  <si>
    <t>2 Copied from Table 2 of Wilkening, D.A., Modeling the incubation period of inhalational anthrax. Med Decis Making, 2008. 28(4): p. 593-605.</t>
  </si>
  <si>
    <t>The probability distribution function (PDF) for the various incubation distributions</t>
  </si>
  <si>
    <t>View Epi-Curve Model</t>
  </si>
  <si>
    <t>STEP 1: ENTER CASE COUNTS</t>
  </si>
  <si>
    <t>Step 2
Incubation Period Settings</t>
  </si>
  <si>
    <t>STEP 2: Incubation Period Settings</t>
  </si>
  <si>
    <t>Step 3 
PEP Decisions</t>
  </si>
  <si>
    <t>Step 1
Case Counts</t>
  </si>
  <si>
    <t>Step 2 
Incubation Settings</t>
  </si>
  <si>
    <t>Step 4
Impact on Healthcare</t>
  </si>
  <si>
    <t>STEP 3.1: MASS PROPHYLAXIS GOALS</t>
  </si>
  <si>
    <t xml:space="preserve">3.1.1   </t>
  </si>
  <si>
    <t>STEP 3.2:  CAMPAIGN IMPLEMENTATION</t>
  </si>
  <si>
    <t>3.2.3</t>
  </si>
  <si>
    <t>3.2.4</t>
  </si>
  <si>
    <t>Step 2
Incubation Settings</t>
  </si>
  <si>
    <t>Step 3
PEP Decisions</t>
  </si>
  <si>
    <t>STEP 4.1: TREATMENT GUIDANCE</t>
  </si>
  <si>
    <t>4.1.1</t>
  </si>
  <si>
    <t>4.1.2</t>
  </si>
  <si>
    <t>STEP 4.2: TREATMENT EFFECTIVENESS</t>
  </si>
  <si>
    <t>4.2.1</t>
  </si>
  <si>
    <t>4.2.2</t>
  </si>
  <si>
    <t>STEP 1: CASE COUNTS</t>
  </si>
  <si>
    <t>STEP 2: INCUBATION PERIOD SETTINGS</t>
  </si>
  <si>
    <t>STEP 3: PEP DECISIONS</t>
  </si>
  <si>
    <t>STEP 4: IMPACT ON HEALTHCARE</t>
  </si>
  <si>
    <t>Model 1: Epi-Curve Model</t>
  </si>
  <si>
    <t>Model 2: PEP Impact</t>
  </si>
  <si>
    <t>Model 3: Healthcare Impact</t>
  </si>
  <si>
    <t>An overview of the tool's intended purpose and how it can be used</t>
  </si>
  <si>
    <t>TIMELINE TOOL</t>
  </si>
  <si>
    <t>Choose your incubation period models to estimate the scope of the event.</t>
  </si>
  <si>
    <t>For advanced users: View calculations used to project the size and timing of the event.</t>
  </si>
  <si>
    <t>For advanced users: View calculations used to project the impact of a prophylaxis campaign</t>
  </si>
  <si>
    <t>For advanced users: View calculations used to project the patient surge, outcomes, and impact on the healthcare system.</t>
  </si>
  <si>
    <r>
      <rPr>
        <b/>
        <u/>
        <sz val="13"/>
        <color rgb="FFFF0000"/>
        <rFont val="Calibri"/>
        <family val="2"/>
        <scheme val="minor"/>
      </rPr>
      <t xml:space="preserve">INSTRUCTIONS: </t>
    </r>
    <r>
      <rPr>
        <b/>
        <sz val="13"/>
        <color theme="1"/>
        <rFont val="Calibri"/>
        <family val="2"/>
        <scheme val="minor"/>
      </rPr>
      <t xml:space="preserve"> Specify on this page values for critical PEP Campaign parameters [all input cells require an entry]. </t>
    </r>
    <r>
      <rPr>
        <b/>
        <sz val="13"/>
        <color rgb="FFFF0000"/>
        <rFont val="Calibri"/>
        <family val="2"/>
        <scheme val="minor"/>
      </rPr>
      <t>To turn OFF the Campaign answer "No" to 3.2.4.</t>
    </r>
  </si>
  <si>
    <t>This worksheet contains the calculations for calculating the Impact of PEP Decisions selected in "Step 3 PEP Decisions".</t>
  </si>
  <si>
    <t>WARNING: Changing any values or formulas in this worksheet may cause malfunctions or the tool to generate incorrect results.</t>
  </si>
  <si>
    <t>This worksheet contains the calculations for projecting the patient surge, outcomes, and impact on the healthcare system, using selections made in "Step 4 Impact on Healthcare".
WARNING: Changing any values or formulas in this worksheet may cause malfunctions or the tool to generate incorrect results.</t>
  </si>
  <si>
    <t>This section contains results for both incubation models and for all Case Count entry methods utilized.</t>
  </si>
  <si>
    <t xml:space="preserve">Use the "Storyboard" to discuss expectations for information and relate them to critical decisions. The storyboard markers can be moved, deleted and copied (in order to generate new ones).  Moving the markers does not change any data - they are for discussion purposes only. </t>
  </si>
  <si>
    <t xml:space="preserve">Use the drop-down menu to select the case counts to use in the incubation model. Click the "Step 1 Case Counts" box at the top of this page to go back and review your case count entries.
</t>
  </si>
  <si>
    <t>Toggling this value will show you the impact of assigning cases to different dates and using more or less restrictive case definitions on the estimates of total projected cases and the timing of peak incidence.</t>
  </si>
  <si>
    <t>Modified-Brookmeyer</t>
  </si>
  <si>
    <t>The default incubation period distributions provided are based on two different exposure sets selected by the author. The Wilkening model uses 360 spores to produce the median curve and 1.0 and 8,000 spores, respectively to produce the high and low Final Case Count (i.e. estimate range). The Modified-Brookmeyer model uses 2, 500, and 10,000 spores to produce the high, median, and low Final Case Count estimates. These choices were based on the author's review of research completed in non-human primate experiments and from the Sverdlosk anthrax outbreak, the best existing source of data on low-dose human exposure to inhalation anthrax. Although this tool allows you to change these values (Click on the "View Epi-Curve Model" box to do so), the authors recommend using these default parameters until sufficient evidence from the anthrax event for which you are using this tool for allows an outbreak-specific incubation period to be estimated [requires between 3-5 consecutive days of surveillance data].</t>
  </si>
  <si>
    <t>View Sverdlovsk Case Series</t>
  </si>
  <si>
    <t>Go Back to: Step 1
Case Counts</t>
  </si>
  <si>
    <t>Sverdlovsk Case Series*</t>
  </si>
  <si>
    <t>See the calculated duration needed to achieve your goal (besides 3.1.2 above). Campaign durations entered here which exceed this value do not avert any additional cases.</t>
  </si>
  <si>
    <t>Unmitigated Event</t>
  </si>
  <si>
    <t>Event with a PEP Campaign*</t>
  </si>
  <si>
    <t xml:space="preserve">Detected Cases (to date)
</t>
  </si>
  <si>
    <t>If you are updating this after having entered a dispensation date (in step 3.2.4), you need to update the dispensation date too.</t>
  </si>
  <si>
    <t>Base this value on how many are believed exposed. In the absence of a known exposure source or contaminated area, you may simply enter the population size of the impacted jurisdiction (the same value you entered in step 2.2).
NOTE: If increasing the prophylaxis goal requires a longer campaign, fewer incubating cases receive PEP early enough to avert illness. This is the result of uninfected individuals diluting incubating cases among a larger population seeking PEP.</t>
  </si>
  <si>
    <t>The default value follows the finding of SteelFisher et al., that of the population targeted by public health officials to receive prophylaxis, 65% actually obtain and start PEP. This is taken from table 1: the percent who responded "very likely" among the "National" group, to the inquiry of "Liklihood of of "Going to a Dispensing Site". Reference: SteelFisher, G., et al., Public response to an anthrax attack: reactions to mass prophylaxis in a scenario involving inhalation anthrax from an unidentified source. Biosecur Bioterror, 2011. 9(3): p. 239-50.</t>
  </si>
  <si>
    <t>Everyone who starts PEP is assumed to fully adhere to the regimen on the first day of the campaign (i.e. 100% adherence). After that, adherence decreases linearly until it reaches the value entered here at event day 60. The default value is taken from Jefferds et. al.'s analysis of adherence among postal workers who were potentially exposed to bacillus anthracis spores in October 2001 after two letters with spores were processed in the facility in which they worked. These workers had witnessed 4 colleagues develop inhalation anthrax; 2 who died. The 40% value is the percent of workers who reported full adherence at the end of the regimen. Values between 25% and 80% may be appropriate for this entry as this range captures the spectrum of those eligible to be protected by PEP based on their use of PEP; from intermittent use to completely discontinuing use.
Reference: Jefferds, M.D., et al., Adherence to antimicrobial inhalational anthrax prophylaxis among postal workers, Washington, D.C., 2001. Emerg Infect Dis, 2002. 8(10): p. 1138-44.</t>
  </si>
  <si>
    <t>Parameter Settings Summary (Pasted in from user entries on the "Step 3 PEP Decisions" Page)</t>
  </si>
  <si>
    <t>The model assumes treatment seeking behavior is influenced by knowledge of the event (per 4.1.2 below)</t>
  </si>
  <si>
    <t>Same as the documented proportions after the 2001 Amerithrax attacks. Reference: Jernigan, D.B., et al., Investigation of bioterrorism-related anthrax, United States, 2001: epidemiologic findings. Emerg Infect Dis, 2002. 8(10): p. 1019-28.</t>
  </si>
  <si>
    <t>Save rate / Care Effectiveness (by stage of illness)</t>
  </si>
  <si>
    <r>
      <t>Default</t>
    </r>
    <r>
      <rPr>
        <u/>
        <vertAlign val="superscript"/>
        <sz val="10"/>
        <rFont val="Arial"/>
        <family val="2"/>
      </rPr>
      <t>+</t>
    </r>
  </si>
  <si>
    <t>Percent  cases averted</t>
  </si>
  <si>
    <t>Percent cases averted</t>
  </si>
  <si>
    <r>
      <t xml:space="preserve"># of prodromals transitioning to </t>
    </r>
    <r>
      <rPr>
        <u/>
        <sz val="10"/>
        <rFont val="Arial"/>
        <family val="2"/>
      </rPr>
      <t>Saved</t>
    </r>
    <r>
      <rPr>
        <sz val="10"/>
        <rFont val="Arial"/>
        <family val="2"/>
      </rPr>
      <t xml:space="preserve"> that started</t>
    </r>
    <r>
      <rPr>
        <u/>
        <sz val="10"/>
        <rFont val="Arial"/>
        <family val="2"/>
      </rPr>
      <t xml:space="preserve"> treatment</t>
    </r>
    <r>
      <rPr>
        <sz val="10"/>
        <rFont val="Arial"/>
        <family val="2"/>
      </rPr>
      <t xml:space="preserve"> in prodromal stage</t>
    </r>
  </si>
  <si>
    <r>
      <t xml:space="preserve">Daily Total of new prodromals seeking treatment who will eventually be </t>
    </r>
    <r>
      <rPr>
        <u/>
        <sz val="10"/>
        <rFont val="Arial"/>
        <family val="2"/>
      </rPr>
      <t>Saved (irrespective of route to Recovery)</t>
    </r>
  </si>
  <si>
    <t>Prop of new prodromals seeking treatment who will eventually be Saved (via fulminant illness)</t>
  </si>
  <si>
    <t>Prop of new prodromals seeking treatment who will eventually be Saved (directly to recovery)</t>
  </si>
  <si>
    <r>
      <t>L</t>
    </r>
    <r>
      <rPr>
        <sz val="11"/>
        <rFont val="Arial"/>
        <family val="2"/>
      </rPr>
      <t>PLt</t>
    </r>
    <r>
      <rPr>
        <vertAlign val="subscript"/>
        <sz val="11"/>
        <rFont val="Arial"/>
        <family val="2"/>
      </rPr>
      <t>x</t>
    </r>
  </si>
  <si>
    <r>
      <t>L</t>
    </r>
    <r>
      <rPr>
        <sz val="11"/>
        <rFont val="Arial"/>
        <family val="2"/>
      </rPr>
      <t>PFt</t>
    </r>
    <r>
      <rPr>
        <vertAlign val="subscript"/>
        <sz val="11"/>
        <rFont val="Arial"/>
        <family val="2"/>
      </rPr>
      <t>x</t>
    </r>
  </si>
  <si>
    <t>probability prodromals who will recover go through fulminant illness</t>
  </si>
  <si>
    <r>
      <t>f</t>
    </r>
    <r>
      <rPr>
        <sz val="10"/>
        <rFont val="Arial"/>
        <family val="2"/>
      </rPr>
      <t>p</t>
    </r>
    <r>
      <rPr>
        <vertAlign val="subscript"/>
        <sz val="14"/>
        <rFont val="Arial"/>
        <family val="2"/>
      </rPr>
      <t>x</t>
    </r>
  </si>
  <si>
    <t xml:space="preserve">The default values provide results which approximately follow the transition distribution identified by Holty et al.’s review of inhalation anthrax cases over a period of 100 years.
Reference: Holty, J.E., et al., Systematic review: a century of inhalational anthrax cases from 1900 to 2005. Ann Intern Med, 2006. 144(4): p. 270-80.
</t>
  </si>
  <si>
    <t>Press Release (PR) Date</t>
  </si>
  <si>
    <t>Treated prod. Proportion that progresses via ful. to recover</t>
  </si>
  <si>
    <t xml:space="preserve">% Prodromal who recover via Fulminant illness
</t>
  </si>
  <si>
    <r>
      <t xml:space="preserve">If care sought while </t>
    </r>
    <r>
      <rPr>
        <u/>
        <sz val="10"/>
        <rFont val="Arial"/>
        <family val="2"/>
      </rPr>
      <t>Prodromal</t>
    </r>
  </si>
  <si>
    <r>
      <t xml:space="preserve">If care sought while </t>
    </r>
    <r>
      <rPr>
        <u/>
        <sz val="10"/>
        <rFont val="Arial"/>
        <family val="2"/>
      </rPr>
      <t>Fulminant</t>
    </r>
  </si>
  <si>
    <t xml:space="preserve">The model assumes an unlimited treatment capacity and that access to treatment is equal for both prodromal and fulminant cases (i.e. there is no priority policy). The default values are the authors assumptions based on the definition of fulminant illness in the prior footnote and improved treatment resources availability (namely intravenous antitoxin in combination with ventilation) and clinical experience and knowledge gained in the United States since the 2001 Amerithrax attacks [2 drum exposures and one suspected wildlife exposure]. In Amerithrax, 6 of 9 individuals recovered (67%) who presented for treatment during the prodromal illness stage (however, 2 who died did not receive antibiotics with activity against B. anthracis until they exhibited fulminant illness), and both individuals who presented for care during fulminant illness died.
References: 
Jernigan, J.A., et al., Bioterrorism-related inhalational anthrax: the first 10 cases reported in the United States. Emerg Infect Dis, 2001. 7(6): p. 933-44.
Barakat, L.A., et al., Fatal inhalational anthrax in a 94-year-old Connecticut woman. JAMA, 2002. 287(7): p. 863-8.  </t>
  </si>
  <si>
    <r>
      <t>(L</t>
    </r>
    <r>
      <rPr>
        <sz val="11"/>
        <rFont val="Arial"/>
        <family val="2"/>
      </rPr>
      <t>Pt</t>
    </r>
    <r>
      <rPr>
        <vertAlign val="subscript"/>
        <sz val="11"/>
        <rFont val="Arial"/>
        <family val="2"/>
      </rPr>
      <t>x</t>
    </r>
    <r>
      <rPr>
        <sz val="14"/>
        <rFont val="Arial"/>
        <family val="2"/>
      </rPr>
      <t>)(f</t>
    </r>
    <r>
      <rPr>
        <sz val="10"/>
        <rFont val="Arial"/>
        <family val="2"/>
      </rPr>
      <t>p</t>
    </r>
    <r>
      <rPr>
        <vertAlign val="subscript"/>
        <sz val="14"/>
        <rFont val="Arial"/>
        <family val="2"/>
      </rPr>
      <t>x</t>
    </r>
    <r>
      <rPr>
        <sz val="14"/>
        <rFont val="Arial"/>
        <family val="2"/>
      </rPr>
      <t>)</t>
    </r>
  </si>
  <si>
    <r>
      <t>L</t>
    </r>
    <r>
      <rPr>
        <sz val="11"/>
        <rFont val="Arial"/>
        <family val="2"/>
      </rPr>
      <t>Pt</t>
    </r>
    <r>
      <rPr>
        <vertAlign val="subscript"/>
        <sz val="11"/>
        <rFont val="Arial"/>
        <family val="2"/>
      </rPr>
      <t>x</t>
    </r>
    <r>
      <rPr>
        <sz val="11"/>
        <rFont val="Arial"/>
        <family val="2"/>
      </rPr>
      <t>-</t>
    </r>
    <r>
      <rPr>
        <sz val="14"/>
        <rFont val="Arial"/>
        <family val="2"/>
      </rPr>
      <t>L</t>
    </r>
    <r>
      <rPr>
        <sz val="10"/>
        <rFont val="Arial"/>
        <family val="2"/>
      </rPr>
      <t>PFt</t>
    </r>
    <r>
      <rPr>
        <vertAlign val="subscript"/>
        <sz val="11"/>
        <rFont val="Arial"/>
        <family val="2"/>
      </rPr>
      <t>x</t>
    </r>
  </si>
  <si>
    <t>incident treated fulminants</t>
  </si>
  <si>
    <t>cumulative treated fulminants</t>
  </si>
  <si>
    <t>Prodromal Treatment Load (w/ PEP Campaign)</t>
  </si>
  <si>
    <t>Fulminant Treatment Load (w/ PEP campaign)</t>
  </si>
  <si>
    <t>IA Treatment Caseload (w/ PEP Campaign)</t>
  </si>
  <si>
    <t>cum prodromals transitioning to saved</t>
  </si>
  <si>
    <t>cum prodromals transitioned to fulminant (those who will die + be saved)</t>
  </si>
  <si>
    <t>cumulative # of fulminants being saved (irrespective of stage trtment started)</t>
  </si>
  <si>
    <t>Prodromal Treatment Load (No PEP Campaign)</t>
  </si>
  <si>
    <t>Fulminant Treatment Load (No PEP campaign)</t>
  </si>
  <si>
    <t>IA Treatment Caseload (No PEP Campaign)</t>
  </si>
  <si>
    <t xml:space="preserve">This value does not alter results shown at right. Advanced users may wish to alter this value to evaluate treatment resource requirements associated with varying definitions of prodromal/fulminant illness. Associated results are availabled in Treatment Census Graph in the Healthcare Model (Click "View Healthcare Model" box). </t>
  </si>
  <si>
    <t>-Match between detected cases and model-based projections may help answer critical questions such as: 1) is this a point-source release, 2) are there multiple releases, 3) is it an aerosolized release? (The tool is designed for a single, point-source, one-time release per a locality. However, a mismatch between the Epidemic Curve projections and the event’s line list data may provide a hint that the exposure is not the result of such a release)</t>
  </si>
  <si>
    <t>The default value is based on the clinical history (as summarized in Jernigan et al.) of 6 survivors during the 2001 Amerithrax attacks who presented for treatment during the prodromal illness stage: cases 2, 3, 4, 7, 8, 9. We defined progression to fulminant illness as severe symptomatic disease characterized by respiratory distress requiring pleural effusion drainage and/or mechanical ventilation, marked cyanosis, shock, or meningoencephalitis. Fulminant illness has also been defined more severly than we do here (see Holty et al.), replacing "respiratory distress" in our definition with "respiratory failure". Per this definition, none of the aforementioned 6 survivors in 2001 progressed to fulminant illness. 
References: 
Jernigan, J.A., et al., Bioterrorism-related inhalational anthrax: the first 10 cases reported in the United States. Emerg Infect Dis, 2001. 7(6): p. 933-44.
Holty, J.E., et al., Systematic review: a century of inhalational anthrax cases from 1900 to 2005. Ann Intern Med, 2006. 144(4): p. 270-80.</t>
  </si>
  <si>
    <t>Epi-Curv Cum, Detected &amp; Projected</t>
  </si>
  <si>
    <t>Epi-Curve Cum, uncertainty-Upper bound</t>
  </si>
  <si>
    <t>Epi-Curve Cum, uncertainty-lower bound</t>
  </si>
  <si>
    <t>Epi-Curve, uncertainty-Upper bound</t>
  </si>
  <si>
    <t>Epi-Curve, detected &amp; Projected</t>
  </si>
  <si>
    <t xml:space="preserve">If you change the exposure dose in the green cells, you must also update the median and standard deviations </t>
  </si>
  <si>
    <t>Lognormal CDF</t>
  </si>
  <si>
    <t>logN (PDF)</t>
  </si>
  <si>
    <t>detected case column (correcting for 0 or blank value entries)</t>
  </si>
  <si>
    <r>
      <rPr>
        <b/>
        <u/>
        <sz val="12"/>
        <color rgb="FFFF0000"/>
        <rFont val="Calibri"/>
        <family val="2"/>
        <scheme val="minor"/>
      </rPr>
      <t xml:space="preserve">INSTRUCTIONS: </t>
    </r>
    <r>
      <rPr>
        <sz val="12"/>
        <color theme="1"/>
        <rFont val="Calibri"/>
        <family val="2"/>
        <scheme val="minor"/>
      </rPr>
      <t xml:space="preserve"> Enter case counts into the 1st column (under the header "Assignment Method 1 - Base Case") of the table below, by dates of patient "Illness Onset". Note on zero/blank values: Use zero if you are certain 0 cases became ill on a date (likely, only at tail end of outbreak) and leave the cell blank if you are uncertain about this.
</t>
    </r>
    <r>
      <rPr>
        <u/>
        <sz val="12"/>
        <color theme="1"/>
        <rFont val="Calibri"/>
        <family val="2"/>
        <scheme val="minor"/>
      </rPr>
      <t>Optional</t>
    </r>
    <r>
      <rPr>
        <sz val="12"/>
        <color theme="1"/>
        <rFont val="Calibri"/>
        <family val="2"/>
        <scheme val="minor"/>
      </rPr>
      <t>:  Enter case count variations into one or both of the other 2 columns (using different case totals or date-assignments) to account for uncertainties in your surveillance sensitivity, precision, or other factors. Name entry methods in the top-most cell of the column by typing over the value bracketed by the "&lt;    &gt;" symbols. 
Once done, click on the orange box "Step 2 Incubation Period Settings" to advance.</t>
    </r>
  </si>
  <si>
    <t>Source: Wilkening, D.A., Sverdlovsk revisited: modeling human inhalation anthrax. Proc Natl Acad Sci U S A, 2006. 103(20): p. 7589-94. (Supporting Information, Figure 15)</t>
  </si>
  <si>
    <t>Campaign Duration Parameters</t>
  </si>
  <si>
    <t>The default value is taken from the results of Meyerhoff et al. [see Table 2: the "no. of anthrax-related deaths" among the ciprofloxacin hydrochloride and doxycyclin treatment groups]. The authors of Anthrax Assist also assume that this protection is achieved 24hrs. after initiated (the most granular unit of time in the model). The following references support and indicate this to be a conservative assumption (i.e. protection can actually be achieved in less time): 
Kelly, D.J., et al., Serum concentrations of penicillin, doxycycline, and ciprofloxacin during prolonged therapy in rhesus monkeys. J Infect Dis, 1992. 166(5): p. 1184-7.
Meyerhoff, A., et al., US Food and Drug Administration approval of ciprofloxacin hydrochloride for management of postexposure inhalational anthrax. Clin Infect Dis, 2004. 39(3): p. 303-8.</t>
  </si>
  <si>
    <t>Sverdlovsk Case Series x 10</t>
  </si>
  <si>
    <t>&lt;type description here&gt;</t>
  </si>
  <si>
    <t>Additional information: Interpreting results in a REAL event</t>
  </si>
  <si>
    <r>
      <rPr>
        <u/>
        <sz val="12"/>
        <rFont val="Arial"/>
        <family val="2"/>
      </rPr>
      <t>Getting Started and Orientation</t>
    </r>
    <r>
      <rPr>
        <sz val="10"/>
        <rFont val="Arial"/>
        <family val="2"/>
      </rPr>
      <t>:
Go to the "CASE_COUNTS" screen if you already know about the timeline for decisions. If you'd like to use the tool to facilitate discussions about decisions you may instead start on the "TIMELINE" screen. Following the instructions and navigation buttons on either screen will take you through the screens of tool in the following order:
1) Incubation, 2) PEP_Decisions, 3) Healthcare Impact. On each of these screens your data entry points will be on the left hand side and results on the right. Supporting information may also be found below the data entry section and results.
The calculations producing results on these 3 screens, however, are located elsewhere.  Advanced users can access them by clicking on the yellow "view the ... model" navigation buttons.</t>
    </r>
  </si>
  <si>
    <t>INTERPRETATION IN A REAL EVENT</t>
  </si>
  <si>
    <r>
      <rPr>
        <u/>
        <sz val="12"/>
        <rFont val="Arial"/>
        <family val="2"/>
      </rPr>
      <t>Data Input</t>
    </r>
    <r>
      <rPr>
        <sz val="10"/>
        <rFont val="Arial"/>
        <family val="2"/>
      </rPr>
      <t>:
Cells shaded in light green indicate locations where data can be entered either by typing it in or selecting a value from a pull down menu.  If the entry method is a pull down menu, click on the small box with a downward-pointing arrow that appears when you put your cursor on the cell to pull up the selection choices - then click on one of the selections to make the choice.  Here is a screen image identifying data input cells with red circles:</t>
    </r>
  </si>
  <si>
    <t>Return to: Step 2
Incubation Settings</t>
  </si>
  <si>
    <t>In the first days just after an anthrax event has been detected, there will be much uncertainty about the amounts of spores to which people were exposed and the associated clinical response. To address this uncertainty Anthrax Assist employs the use of conservative assumptions for these factors, based on the best-available scientific evidence and historical anthrax events. As more data becomes available from the current event, you may find that these assumptions need updating. This screen provides instructions for you to determine whether our default assumptions need updating and how to do so if necessary.</t>
  </si>
  <si>
    <r>
      <t xml:space="preserve">Type in values for the median and standard deviation. </t>
    </r>
    <r>
      <rPr>
        <i/>
        <sz val="9"/>
        <color rgb="FFFF0000"/>
        <rFont val="Arial"/>
        <family val="2"/>
      </rPr>
      <t xml:space="preserve">You MUST enter values that </t>
    </r>
    <r>
      <rPr>
        <i/>
        <u/>
        <sz val="9"/>
        <color rgb="FFFF0000"/>
        <rFont val="Arial"/>
        <family val="2"/>
      </rPr>
      <t>match</t>
    </r>
    <r>
      <rPr>
        <i/>
        <sz val="9"/>
        <color rgb="FFFF0000"/>
        <rFont val="Arial"/>
        <family val="2"/>
      </rPr>
      <t xml:space="preserve"> either the "Wilkening" or "Modified-Brookmeyer" Parameter Values for an estimate range to be generated.</t>
    </r>
  </si>
  <si>
    <t xml:space="preserve">Advanced Users: Click on the name of the model in the Default Parameter Values box to see the formula and exposure dose^ (i.e. average inhaled spore counts) assumptions. Or, to view calculations and all of the possible estimate results (combinations of the 2 incubation distributions with all different case-count entries), click on the box "View Epi-Curve Model" to the right. </t>
  </si>
  <si>
    <t>Example A: Good Agreement</t>
  </si>
  <si>
    <t>Example B: Agreement can be improved</t>
  </si>
  <si>
    <r>
      <rPr>
        <u/>
        <sz val="12"/>
        <rFont val="Arial"/>
        <family val="2"/>
      </rPr>
      <t>How to interpret discrepencies between detected and estimated case series</t>
    </r>
    <r>
      <rPr>
        <sz val="10"/>
        <rFont val="Arial"/>
        <family val="2"/>
      </rPr>
      <t>:
There are a few ways to interpret the discrepencies in Example B: 
1) The number of detected cases at the leading edge of the outbreak (days 4 &amp; 5) represents only a portion of the total cases who have become symptomatic on days 4 &amp; 5. This may be related to a normal delay in surveillance reporting.
2) The outbreak has peaked earlier than the Anthrax Assist estimate suggests. This can result from the impacted population having been exposed to a higher average dose than the default exposure assumption.
3) A combination of both under-reporting of cases (interpretation 1) and a higher exposure dose (interpretation #2) are at play.</t>
    </r>
  </si>
  <si>
    <t>The detected cases (red bars) peak on day 2 while the median event size forecast (dashed blue curve) peaks on day 5. Furthermore, there is a large difference between the number of cases detected and estimated at the peak (5 versus 38 respectively; about 8 times more estimated cases)</t>
  </si>
  <si>
    <r>
      <rPr>
        <u/>
        <sz val="12"/>
        <rFont val="Arial"/>
        <family val="2"/>
      </rPr>
      <t>How to adjust assumptions to improve detected and estimated case series agreement:</t>
    </r>
    <r>
      <rPr>
        <sz val="10"/>
        <rFont val="Arial"/>
        <family val="2"/>
      </rPr>
      <t xml:space="preserve">
You have several options, depending on your interpretation of the cause of the discrepency:
1) Adjust the case series on the "Case Counts" screen by inflating or deflating counts based on perceived under/over-reporting, or assign cases to different illness-onset dates.
2) Adjust the median Average Exposed Dose on the "Epi-Curve model" screen.
3) Make adjustments to both the case series input and the Average Exposed Dose. </t>
    </r>
  </si>
  <si>
    <t>Gabriel Rainisch via e-mail at</t>
  </si>
  <si>
    <t>A customizable planning worksheet to visualize the relationship between events, information availability, and response decisions.</t>
  </si>
  <si>
    <t>Location for entering the primary model input: daily case counts.</t>
  </si>
  <si>
    <r>
      <t xml:space="preserve">The goal of this tool is to provide public health and health care delivery leaders an alternative to plume modeling* for informing the numerous decisions that must be made within the first 72 hours following a release of </t>
    </r>
    <r>
      <rPr>
        <i/>
        <sz val="10"/>
        <rFont val="Arial"/>
        <family val="2"/>
      </rPr>
      <t>Bacillus anthracis</t>
    </r>
    <r>
      <rPr>
        <sz val="10"/>
        <rFont val="Arial"/>
        <family val="2"/>
      </rPr>
      <t xml:space="preserve"> spores. This short timeframe for making critical choices may limit the amount of data and analyses available to decision makers. To assist public health planners in this critical period, this tool capitalizes on prior anthrax exposure modeling to provide reasonable estimates of the potential size of an unfolding event, the impact of a mass prophylax campaign, and demands on the healthcare system in the absence of sufficient data from the field.</t>
    </r>
  </si>
  <si>
    <r>
      <t xml:space="preserve">1. Reliance on the "line list" </t>
    </r>
    <r>
      <rPr>
        <sz val="10"/>
        <color rgb="FF000000"/>
        <rFont val="Arial"/>
        <family val="2"/>
      </rPr>
      <t>data available through standard public health investigations/reporting</t>
    </r>
  </si>
  <si>
    <r>
      <t xml:space="preserve">2. </t>
    </r>
    <r>
      <rPr>
        <sz val="10"/>
        <color rgb="FF000000"/>
        <rFont val="Arial"/>
        <family val="2"/>
      </rPr>
      <t>Straightforward calculations (i.e. algebra)</t>
    </r>
  </si>
  <si>
    <r>
      <t>3. Assumptions b</t>
    </r>
    <r>
      <rPr>
        <sz val="10"/>
        <color rgb="FF000000"/>
        <rFont val="Arial"/>
        <family val="2"/>
      </rPr>
      <t>ased on the best available, published evidence</t>
    </r>
  </si>
  <si>
    <t>*The model schematic below compares the approaches employed by plume models (shaded in grey) and this tool, and depicts the relationships between the tool's data inputs, models (blue boxes) and supported decisions.
The practical drawbacks of the classic plume modeling approach for public health planners are twofold:  1) it is unlikely that a trusted estimate of exposure will be available in time to make critical response decisions; and 2) it is independent of standard public health case reporting, again limiting trust.</t>
  </si>
  <si>
    <r>
      <rPr>
        <u/>
        <sz val="12"/>
        <rFont val="Arial"/>
        <family val="2"/>
      </rPr>
      <t>Do my assumptions need updating?</t>
    </r>
    <r>
      <rPr>
        <sz val="10"/>
        <rFont val="Arial"/>
        <family val="2"/>
      </rPr>
      <t xml:space="preserve">
Once four (or more) days of case count data are entered as input you can check whether there are notable differences between the case series you inputted and the median cases curve estimated with the Epidemic-curve model (on the "Incubation Settings" screen. Below are two examples of output with and without agreement between input detected cases and model estimates. In example B, a better fit may be obtained by updating assumptions.</t>
    </r>
  </si>
  <si>
    <t>Here, the detected cases (red bars) track the median event size forecast (dashed blue curve) fairly well. Both peak around the same time, and even though on some days the detected cases exceed the median estimate (days 3 &amp;4), and on others it is less (days 5 &amp; 6), it is clearly a better fit compared to example B.</t>
  </si>
  <si>
    <r>
      <rPr>
        <u/>
        <sz val="12"/>
        <rFont val="Arial"/>
        <family val="2"/>
      </rPr>
      <t>Technical Support</t>
    </r>
    <r>
      <rPr>
        <sz val="10"/>
        <rFont val="Arial"/>
        <family val="2"/>
      </rPr>
      <t>:
If you would like additional assistance with this topic or to seek the author's consultation during a real anthrax event or exercise, please contact:</t>
    </r>
  </si>
  <si>
    <t>This value sets the maximal event size. So, if your entry matches the estimated event size at right, everyone is either infected or your entry underestimates the number of persons actually exposed.</t>
  </si>
  <si>
    <r>
      <rPr>
        <sz val="11"/>
        <color rgb="FFFF0000"/>
        <rFont val="Arial"/>
        <family val="2"/>
      </rPr>
      <t>Suggested use:</t>
    </r>
    <r>
      <rPr>
        <sz val="10"/>
        <rFont val="Arial"/>
        <family val="2"/>
      </rPr>
      <t xml:space="preserve"> Design your own planning scneario by copying and pasting several of the first days' case counts from this dataset into the Case Counts page.  You can also mutiply each day by some factor (see column D as an example) to increase the overall event size.</t>
    </r>
  </si>
  <si>
    <r>
      <rPr>
        <b/>
        <sz val="10"/>
        <color rgb="FFFF0000"/>
        <rFont val="Arial"/>
        <family val="2"/>
      </rPr>
      <t>INSTRUCTIONS:</t>
    </r>
    <r>
      <rPr>
        <sz val="10"/>
        <rFont val="Arial"/>
        <family val="2"/>
      </rPr>
      <t xml:space="preserve"> Specify values (in the green boxes) that define the shape of the incubation period distribution [step 2.1] and your case-series input [step 2.2]. Your selections are used to estimate the final case count and incidence curve in the graphs on the right side of the screen. Afterwards, click on "Step 3 PEP Decisions" above to advance.</t>
    </r>
  </si>
  <si>
    <t>and Medical Care Consequences in an Anthrax Response</t>
  </si>
  <si>
    <t>ANTHRAX ASSIST: A Tool for Forecasting Public Health</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</si>
</sst>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_(* \(#,##0.00\);_(* &quot;-&quot;??_);_(@_)"/>
    <numFmt numFmtId="164" formatCode="m/d/yy\ h:mm;@"/>
    <numFmt numFmtId="165" formatCode="m/d/yy;@"/>
    <numFmt numFmtId="166" formatCode="h:mm;@"/>
    <numFmt numFmtId="167" formatCode="[$-409]h:mm\ AM/PM;@"/>
    <numFmt numFmtId="168" formatCode="_(* #,##0_);_(* \(#,##0\);_(* &quot;-&quot;??_);_(@_)"/>
    <numFmt numFmtId="169" formatCode="0.000"/>
    <numFmt numFmtId="170" formatCode="0.000000"/>
    <numFmt numFmtId="171" formatCode="m/d;@"/>
    <numFmt numFmtId="172" formatCode="0.00000"/>
    <numFmt numFmtId="173" formatCode="_(* #,##0.000_);_(* \(#,##0.000\);_(* &quot;-&quot;??_);_(@_)"/>
    <numFmt numFmtId="174" formatCode="_(* #,##0.0_);_(* \(#,##0.0\);_(* &quot;-&quot;??_);_(@_)"/>
    <numFmt numFmtId="175" formatCode="0.000000000"/>
    <numFmt numFmtId="176" formatCode="0.0"/>
  </numFmts>
  <fonts count="11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sz val="10"/>
      <color indexed="16"/>
      <name val="Century Gothic"/>
      <family val="2"/>
    </font>
    <font>
      <sz val="10"/>
      <color indexed="63"/>
      <name val="Century Gothic"/>
      <family val="2"/>
    </font>
    <font>
      <b/>
      <sz val="11"/>
      <color theme="1"/>
      <name val="Calibri"/>
      <family val="2"/>
      <scheme val="minor"/>
    </font>
    <font>
      <sz val="11"/>
      <color theme="1"/>
      <name val="Calibri"/>
      <family val="2"/>
      <scheme val="minor"/>
    </font>
    <font>
      <b/>
      <sz val="10"/>
      <color indexed="63"/>
      <name val="Century Gothic"/>
      <family val="2"/>
    </font>
    <font>
      <b/>
      <sz val="12"/>
      <color indexed="63"/>
      <name val="Century Gothic"/>
      <family val="2"/>
    </font>
    <font>
      <sz val="8"/>
      <name val="Tahoma"/>
      <family val="2"/>
    </font>
    <font>
      <b/>
      <sz val="10"/>
      <color theme="3" tint="-0.249977111117893"/>
      <name val="Century Gothic"/>
      <family val="2"/>
    </font>
    <font>
      <sz val="10"/>
      <name val="Arial"/>
      <family val="2"/>
    </font>
    <font>
      <b/>
      <sz val="10"/>
      <color indexed="16"/>
      <name val="Century Gothic"/>
      <family val="2"/>
    </font>
    <font>
      <b/>
      <sz val="10"/>
      <color rgb="FF800000"/>
      <name val="Century Gothic"/>
      <family val="2"/>
    </font>
    <font>
      <b/>
      <sz val="10"/>
      <name val="Century Gothic"/>
      <family val="2"/>
    </font>
    <font>
      <b/>
      <sz val="10"/>
      <color rgb="FFFF0000"/>
      <name val="Century Gothic"/>
      <family val="2"/>
    </font>
    <font>
      <b/>
      <sz val="10"/>
      <color theme="1"/>
      <name val="Century Gothic"/>
      <family val="2"/>
    </font>
    <font>
      <u/>
      <sz val="11"/>
      <color theme="1"/>
      <name val="Calibri"/>
      <family val="2"/>
      <scheme val="minor"/>
    </font>
    <font>
      <b/>
      <vertAlign val="superscript"/>
      <sz val="11"/>
      <color theme="1"/>
      <name val="Calibri"/>
      <family val="2"/>
      <scheme val="minor"/>
    </font>
    <font>
      <b/>
      <sz val="10"/>
      <name val="Arial"/>
      <family val="2"/>
    </font>
    <font>
      <sz val="10"/>
      <name val="Arial"/>
      <family val="2"/>
    </font>
    <font>
      <sz val="11"/>
      <color indexed="63"/>
      <name val="Century Gothic"/>
      <family val="2"/>
    </font>
    <font>
      <b/>
      <u/>
      <sz val="10"/>
      <color indexed="63"/>
      <name val="Century Gothic"/>
      <family val="2"/>
    </font>
    <font>
      <u/>
      <sz val="10"/>
      <name val="Arial"/>
      <family val="2"/>
    </font>
    <font>
      <sz val="18"/>
      <name val="Arial"/>
      <family val="2"/>
    </font>
    <font>
      <sz val="14"/>
      <color theme="1"/>
      <name val="Calibri"/>
      <family val="2"/>
      <scheme val="minor"/>
    </font>
    <font>
      <b/>
      <sz val="12"/>
      <name val="Arial"/>
      <family val="2"/>
    </font>
    <font>
      <sz val="10"/>
      <color indexed="81"/>
      <name val="Tahoma"/>
      <family val="2"/>
    </font>
    <font>
      <b/>
      <sz val="10"/>
      <color indexed="81"/>
      <name val="Tahoma"/>
      <family val="2"/>
    </font>
    <font>
      <b/>
      <sz val="10"/>
      <color rgb="FF800000"/>
      <name val="Arial"/>
      <family val="2"/>
    </font>
    <font>
      <u/>
      <sz val="13"/>
      <color theme="10"/>
      <name val="Arial"/>
      <family val="2"/>
    </font>
    <font>
      <sz val="10"/>
      <name val="Arial"/>
      <family val="2"/>
    </font>
    <font>
      <sz val="9"/>
      <name val="Arial"/>
      <family val="2"/>
    </font>
    <font>
      <sz val="9"/>
      <name val="Calibri"/>
      <family val="2"/>
    </font>
    <font>
      <i/>
      <sz val="10"/>
      <name val="Arial"/>
      <family val="2"/>
    </font>
    <font>
      <sz val="11"/>
      <name val="Arial"/>
      <family val="2"/>
    </font>
    <font>
      <sz val="20"/>
      <name val="Arial"/>
      <family val="2"/>
    </font>
    <font>
      <sz val="12"/>
      <name val="Arial"/>
      <family val="2"/>
    </font>
    <font>
      <b/>
      <sz val="22"/>
      <name val="Arial"/>
      <family val="2"/>
    </font>
    <font>
      <b/>
      <sz val="13"/>
      <name val="Arial"/>
      <family val="2"/>
    </font>
    <font>
      <vertAlign val="superscript"/>
      <sz val="10"/>
      <name val="Arial"/>
      <family val="2"/>
    </font>
    <font>
      <vertAlign val="superscript"/>
      <sz val="11"/>
      <name val="Arial"/>
      <family val="2"/>
    </font>
    <font>
      <b/>
      <sz val="11"/>
      <color theme="5" tint="-0.249977111117893"/>
      <name val="Century Gothic"/>
      <family val="2"/>
    </font>
    <font>
      <sz val="11"/>
      <color theme="5" tint="-0.249977111117893"/>
      <name val="Century Gothic"/>
      <family val="2"/>
    </font>
    <font>
      <sz val="9"/>
      <color theme="5" tint="-0.249977111117893"/>
      <name val="Century Gothic"/>
      <family val="2"/>
    </font>
    <font>
      <b/>
      <sz val="10"/>
      <color theme="1"/>
      <name val="Arial"/>
      <family val="2"/>
    </font>
    <font>
      <b/>
      <sz val="11"/>
      <name val="Arial"/>
      <family val="2"/>
    </font>
    <font>
      <u/>
      <sz val="10"/>
      <color theme="10"/>
      <name val="Arial"/>
      <family val="2"/>
    </font>
    <font>
      <b/>
      <sz val="10"/>
      <color rgb="FFFF0000"/>
      <name val="Arial"/>
      <family val="2"/>
    </font>
    <font>
      <b/>
      <u/>
      <sz val="10"/>
      <color rgb="FFFF0000"/>
      <name val="Arial"/>
      <family val="2"/>
    </font>
    <font>
      <sz val="10"/>
      <color rgb="FFC00000"/>
      <name val="Arial"/>
      <family val="2"/>
    </font>
    <font>
      <b/>
      <sz val="10"/>
      <color rgb="FFC00000"/>
      <name val="Arial"/>
      <family val="2"/>
    </font>
    <font>
      <sz val="11"/>
      <color rgb="FF1F497D"/>
      <name val="Calibri"/>
      <family val="2"/>
    </font>
    <font>
      <sz val="12"/>
      <color rgb="FF000000"/>
      <name val="Courier New"/>
      <family val="3"/>
    </font>
    <font>
      <b/>
      <u/>
      <sz val="10"/>
      <name val="Arial"/>
      <family val="2"/>
    </font>
    <font>
      <i/>
      <sz val="8"/>
      <name val="Arial"/>
      <family val="2"/>
    </font>
    <font>
      <i/>
      <sz val="7"/>
      <name val="Arial"/>
      <family val="2"/>
    </font>
    <font>
      <b/>
      <sz val="8"/>
      <name val="Arial"/>
      <family val="2"/>
    </font>
    <font>
      <b/>
      <u/>
      <sz val="11"/>
      <color theme="1"/>
      <name val="Calibri"/>
      <family val="2"/>
      <scheme val="minor"/>
    </font>
    <font>
      <sz val="10"/>
      <color rgb="FFFF0000"/>
      <name val="Arial"/>
      <family val="2"/>
    </font>
    <font>
      <b/>
      <sz val="9"/>
      <name val="Arial"/>
      <family val="2"/>
    </font>
    <font>
      <b/>
      <u/>
      <sz val="9"/>
      <name val="Arial"/>
      <family val="2"/>
    </font>
    <font>
      <i/>
      <sz val="9"/>
      <name val="Arial"/>
      <family val="2"/>
    </font>
    <font>
      <sz val="8"/>
      <color indexed="81"/>
      <name val="Tahoma"/>
      <family val="2"/>
    </font>
    <font>
      <b/>
      <i/>
      <sz val="10"/>
      <name val="Arial"/>
      <family val="2"/>
    </font>
    <font>
      <b/>
      <u/>
      <sz val="14"/>
      <name val="Arial"/>
      <family val="2"/>
    </font>
    <font>
      <vertAlign val="subscript"/>
      <sz val="11"/>
      <name val="Arial"/>
      <family val="2"/>
    </font>
    <font>
      <sz val="14"/>
      <name val="Arial"/>
      <family val="2"/>
    </font>
    <font>
      <vertAlign val="subscript"/>
      <sz val="14"/>
      <name val="Arial"/>
      <family val="2"/>
    </font>
    <font>
      <sz val="9"/>
      <color indexed="81"/>
      <name val="Tahoma"/>
      <family val="2"/>
    </font>
    <font>
      <b/>
      <sz val="9"/>
      <color indexed="81"/>
      <name val="Tahoma"/>
      <family val="2"/>
    </font>
    <font>
      <sz val="16"/>
      <name val="Arial"/>
      <family val="2"/>
    </font>
    <font>
      <sz val="10"/>
      <color rgb="FF0070C0"/>
      <name val="Arial"/>
      <family val="2"/>
    </font>
    <font>
      <u/>
      <sz val="10"/>
      <color rgb="FF0070C0"/>
      <name val="Arial"/>
      <family val="2"/>
    </font>
    <font>
      <u/>
      <sz val="10"/>
      <color rgb="FFFF0000"/>
      <name val="Arial"/>
      <family val="2"/>
    </font>
    <font>
      <vertAlign val="subscript"/>
      <sz val="16"/>
      <name val="Arial"/>
      <family val="2"/>
    </font>
    <font>
      <vertAlign val="subscript"/>
      <sz val="10"/>
      <name val="Arial"/>
      <family val="2"/>
    </font>
    <font>
      <b/>
      <sz val="10"/>
      <color rgb="FF00B0F0"/>
      <name val="Arial"/>
      <family val="2"/>
    </font>
    <font>
      <b/>
      <sz val="12"/>
      <name val="Century Gothic"/>
      <family val="2"/>
    </font>
    <font>
      <sz val="10"/>
      <color theme="1"/>
      <name val="Calibri"/>
      <family val="2"/>
      <scheme val="minor"/>
    </font>
    <font>
      <b/>
      <sz val="10"/>
      <color theme="1"/>
      <name val="Calibri"/>
      <family val="2"/>
      <scheme val="minor"/>
    </font>
    <font>
      <b/>
      <sz val="14"/>
      <color rgb="FF00B050"/>
      <name val="Arial"/>
      <family val="2"/>
    </font>
    <font>
      <b/>
      <u/>
      <sz val="10"/>
      <color rgb="FFC00000"/>
      <name val="Arial"/>
      <family val="2"/>
    </font>
    <font>
      <sz val="8"/>
      <name val="Arial"/>
      <family val="2"/>
    </font>
    <font>
      <b/>
      <vertAlign val="superscript"/>
      <sz val="10"/>
      <name val="Arial"/>
      <family val="2"/>
    </font>
    <font>
      <u/>
      <sz val="11"/>
      <name val="Arial"/>
      <family val="2"/>
    </font>
    <font>
      <b/>
      <sz val="14"/>
      <name val="Arial"/>
      <family val="2"/>
    </font>
    <font>
      <b/>
      <sz val="9"/>
      <color rgb="FFC00000"/>
      <name val="Arial"/>
      <family val="2"/>
    </font>
    <font>
      <sz val="10"/>
      <color rgb="FF000000"/>
      <name val="Arial"/>
      <family val="2"/>
    </font>
    <font>
      <u/>
      <sz val="12"/>
      <name val="Arial"/>
      <family val="2"/>
    </font>
    <font>
      <b/>
      <u/>
      <sz val="12"/>
      <color rgb="FFFF0000"/>
      <name val="Century Gothic"/>
      <family val="2"/>
    </font>
    <font>
      <i/>
      <sz val="9"/>
      <color theme="1"/>
      <name val="Arial"/>
      <family val="2"/>
    </font>
    <font>
      <b/>
      <sz val="8"/>
      <color rgb="FF555555"/>
      <name val="Arial"/>
      <family val="2"/>
    </font>
    <font>
      <u/>
      <sz val="8"/>
      <name val="Arial"/>
      <family val="2"/>
    </font>
    <font>
      <b/>
      <sz val="13"/>
      <color theme="1"/>
      <name val="Calibri"/>
      <family val="2"/>
      <scheme val="minor"/>
    </font>
    <font>
      <b/>
      <sz val="13"/>
      <color rgb="FFFF0000"/>
      <name val="Calibri"/>
      <family val="2"/>
      <scheme val="minor"/>
    </font>
    <font>
      <sz val="10"/>
      <color rgb="FFFF5050"/>
      <name val="Arial"/>
      <family val="2"/>
    </font>
    <font>
      <sz val="12"/>
      <color rgb="FFFF5050"/>
      <name val="Arial"/>
      <family val="2"/>
    </font>
    <font>
      <b/>
      <sz val="12"/>
      <color rgb="FFFF0000"/>
      <name val="Arial"/>
      <family val="2"/>
    </font>
    <font>
      <b/>
      <sz val="12"/>
      <color theme="5" tint="-0.249977111117893"/>
      <name val="Arial"/>
      <family val="2"/>
    </font>
    <font>
      <sz val="12"/>
      <color rgb="FFFF0000"/>
      <name val="Arial"/>
      <family val="2"/>
    </font>
    <font>
      <b/>
      <vertAlign val="superscript"/>
      <sz val="12"/>
      <color theme="5" tint="-0.249977111117893"/>
      <name val="Arial"/>
      <family val="2"/>
    </font>
    <font>
      <sz val="12"/>
      <color theme="1"/>
      <name val="Calibri"/>
      <family val="2"/>
      <scheme val="minor"/>
    </font>
    <font>
      <u/>
      <sz val="12"/>
      <color theme="1"/>
      <name val="Calibri"/>
      <family val="2"/>
      <scheme val="minor"/>
    </font>
    <font>
      <b/>
      <u/>
      <sz val="12"/>
      <color rgb="FFFF0000"/>
      <name val="Calibri"/>
      <family val="2"/>
      <scheme val="minor"/>
    </font>
    <font>
      <b/>
      <u/>
      <sz val="13"/>
      <color rgb="FFFF0000"/>
      <name val="Calibri"/>
      <family val="2"/>
      <scheme val="minor"/>
    </font>
    <font>
      <b/>
      <u/>
      <sz val="11"/>
      <color rgb="FFFF0000"/>
      <name val="Arial"/>
      <family val="2"/>
    </font>
    <font>
      <b/>
      <sz val="11"/>
      <color rgb="FFFF0000"/>
      <name val="Arial"/>
      <family val="2"/>
    </font>
    <font>
      <sz val="11"/>
      <color rgb="FFFF0000"/>
      <name val="Arial"/>
      <family val="2"/>
    </font>
    <font>
      <b/>
      <sz val="12"/>
      <color rgb="FFFF0000"/>
      <name val="Century Gothic"/>
      <family val="2"/>
    </font>
    <font>
      <b/>
      <sz val="14"/>
      <color theme="1"/>
      <name val="Century Gothic"/>
      <family val="2"/>
    </font>
    <font>
      <u/>
      <vertAlign val="superscript"/>
      <sz val="10"/>
      <name val="Arial"/>
      <family val="2"/>
    </font>
    <font>
      <sz val="9"/>
      <color indexed="81"/>
      <name val="Tahoma"/>
      <charset val="1"/>
    </font>
    <font>
      <i/>
      <sz val="9"/>
      <color rgb="FFFF0000"/>
      <name val="Arial"/>
      <family val="2"/>
    </font>
    <font>
      <i/>
      <u/>
      <sz val="9"/>
      <color rgb="FFFF0000"/>
      <name val="Arial"/>
      <family val="2"/>
    </font>
  </fonts>
  <fills count="32">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16"/>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indexed="4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00CCFF"/>
        <bgColor indexed="64"/>
      </patternFill>
    </fill>
    <fill>
      <patternFill patternType="solid">
        <fgColor indexed="63"/>
        <bgColor indexed="64"/>
      </patternFill>
    </fill>
    <fill>
      <patternFill patternType="lightHorizontal">
        <fgColor indexed="23"/>
      </patternFill>
    </fill>
    <fill>
      <patternFill patternType="solid">
        <fgColor indexed="22"/>
        <bgColor indexed="64"/>
      </patternFill>
    </fill>
    <fill>
      <patternFill patternType="solid">
        <fgColor indexed="55"/>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rgb="FFE9E9E9"/>
        <bgColor indexed="64"/>
      </patternFill>
    </fill>
    <fill>
      <patternFill patternType="solid">
        <fgColor rgb="FFBAE18F"/>
        <bgColor indexed="64"/>
      </patternFill>
    </fill>
    <fill>
      <patternFill patternType="solid">
        <fgColor theme="0"/>
        <bgColor indexed="64"/>
      </patternFill>
    </fill>
    <fill>
      <patternFill patternType="solid">
        <fgColor theme="1"/>
        <bgColor indexed="64"/>
      </patternFill>
    </fill>
    <fill>
      <patternFill patternType="solid">
        <fgColor theme="5" tint="0.79998168889431442"/>
        <bgColor indexed="64"/>
      </patternFill>
    </fill>
    <fill>
      <patternFill patternType="solid">
        <fgColor rgb="FFFFFF99"/>
        <bgColor rgb="FFFFFF99"/>
      </patternFill>
    </fill>
    <fill>
      <patternFill patternType="solid">
        <fgColor theme="6" tint="0.59999389629810485"/>
        <bgColor indexed="64"/>
      </patternFill>
    </fill>
    <fill>
      <patternFill patternType="solid">
        <fgColor rgb="FF00FFFF"/>
        <bgColor indexed="64"/>
      </patternFill>
    </fill>
    <fill>
      <patternFill patternType="solid">
        <fgColor rgb="FFEDCAC9"/>
        <bgColor indexed="64"/>
      </patternFill>
    </fill>
    <fill>
      <patternFill patternType="solid">
        <fgColor rgb="FFAFFFAF"/>
        <bgColor indexed="64"/>
      </patternFill>
    </fill>
    <fill>
      <patternFill patternType="solid">
        <fgColor rgb="FFFFE7E7"/>
        <bgColor indexed="64"/>
      </patternFill>
    </fill>
  </fills>
  <borders count="116">
    <border>
      <left/>
      <right/>
      <top/>
      <bottom/>
      <diagonal/>
    </border>
    <border>
      <left style="medium">
        <color indexed="16"/>
      </left>
      <right/>
      <top style="thin">
        <color indexed="16"/>
      </top>
      <bottom/>
      <diagonal/>
    </border>
    <border>
      <left style="thin">
        <color indexed="43"/>
      </left>
      <right style="medium">
        <color indexed="16"/>
      </right>
      <top style="thin">
        <color indexed="16"/>
      </top>
      <bottom/>
      <diagonal/>
    </border>
    <border>
      <left style="thin">
        <color indexed="22"/>
      </left>
      <right/>
      <top/>
      <bottom/>
      <diagonal/>
    </border>
    <border>
      <left style="thin">
        <color indexed="22"/>
      </left>
      <right style="medium">
        <color indexed="16"/>
      </right>
      <top style="thin">
        <color indexed="16"/>
      </top>
      <bottom/>
      <diagonal/>
    </border>
    <border>
      <left/>
      <right/>
      <top/>
      <bottom style="thin">
        <color indexed="64"/>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medium">
        <color indexed="64"/>
      </left>
      <right/>
      <top style="medium">
        <color indexed="64"/>
      </top>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dotted">
        <color auto="1"/>
      </right>
      <top style="dotted">
        <color auto="1"/>
      </top>
      <bottom style="medium">
        <color indexed="64"/>
      </bottom>
      <diagonal/>
    </border>
    <border>
      <left style="dotted">
        <color auto="1"/>
      </left>
      <right style="dotted">
        <color auto="1"/>
      </right>
      <top style="medium">
        <color indexed="64"/>
      </top>
      <bottom style="dotted">
        <color auto="1"/>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theme="0"/>
      </left>
      <right style="medium">
        <color theme="0"/>
      </right>
      <top/>
      <bottom/>
      <diagonal/>
    </border>
    <border>
      <left style="thick">
        <color theme="0"/>
      </left>
      <right style="thick">
        <color theme="0"/>
      </right>
      <top/>
      <bottom/>
      <diagonal/>
    </border>
    <border>
      <left style="thick">
        <color theme="0"/>
      </left>
      <right style="thick">
        <color theme="0"/>
      </right>
      <top/>
      <bottom style="thin">
        <color indexed="16"/>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style="medium">
        <color auto="1"/>
      </right>
      <top style="medium">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auto="1"/>
      </bottom>
      <diagonal/>
    </border>
    <border>
      <left/>
      <right style="medium">
        <color auto="1"/>
      </right>
      <top style="thin">
        <color indexed="64"/>
      </top>
      <bottom style="dotted">
        <color indexed="64"/>
      </bottom>
      <diagonal/>
    </border>
    <border>
      <left/>
      <right style="medium">
        <color indexed="64"/>
      </right>
      <top style="dotted">
        <color auto="1"/>
      </top>
      <bottom style="dotted">
        <color auto="1"/>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medium">
        <color indexed="64"/>
      </bottom>
      <diagonal/>
    </border>
    <border>
      <left style="hair">
        <color indexed="64"/>
      </left>
      <right style="hair">
        <color indexed="64"/>
      </right>
      <top style="hair">
        <color indexed="64"/>
      </top>
      <bottom style="hair">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23"/>
      </top>
      <bottom style="thin">
        <color indexed="23"/>
      </bottom>
      <diagonal/>
    </border>
    <border>
      <left/>
      <right/>
      <top style="dotted">
        <color auto="1"/>
      </top>
      <bottom style="dotted">
        <color auto="1"/>
      </bottom>
      <diagonal/>
    </border>
    <border>
      <left/>
      <right/>
      <top/>
      <bottom style="thick">
        <color indexed="64"/>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dotted">
        <color indexed="64"/>
      </bottom>
      <diagonal/>
    </border>
    <border>
      <left style="medium">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bottom style="dotted">
        <color indexed="64"/>
      </bottom>
      <diagonal/>
    </border>
    <border>
      <left/>
      <right style="medium">
        <color indexed="64"/>
      </right>
      <top/>
      <bottom style="dotted">
        <color indexed="64"/>
      </bottom>
      <diagonal/>
    </border>
    <border>
      <left/>
      <right/>
      <top style="medium">
        <color indexed="64"/>
      </top>
      <bottom style="dotted">
        <color indexed="64"/>
      </bottom>
      <diagonal/>
    </border>
    <border>
      <left style="medium">
        <color indexed="64"/>
      </left>
      <right style="medium">
        <color indexed="64"/>
      </right>
      <top/>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right/>
      <top style="dashed">
        <color indexed="64"/>
      </top>
      <bottom/>
      <diagonal/>
    </border>
    <border>
      <left/>
      <right/>
      <top/>
      <bottom style="dashed">
        <color indexed="64"/>
      </bottom>
      <diagonal/>
    </border>
    <border>
      <left/>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thick">
        <color theme="0"/>
      </left>
      <right style="thick">
        <color theme="0"/>
      </right>
      <top style="medium">
        <color indexed="64"/>
      </top>
      <bottom/>
      <diagonal/>
    </border>
    <border>
      <left style="medium">
        <color theme="0"/>
      </left>
      <right style="medium">
        <color theme="0"/>
      </right>
      <top/>
      <bottom style="medium">
        <color indexed="64"/>
      </bottom>
      <diagonal/>
    </border>
    <border>
      <left style="medium">
        <color indexed="64"/>
      </left>
      <right style="medium">
        <color theme="0"/>
      </right>
      <top/>
      <bottom/>
      <diagonal/>
    </border>
    <border>
      <left style="medium">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medium">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style="dashed">
        <color indexed="64"/>
      </right>
      <top/>
      <bottom/>
      <diagonal/>
    </border>
    <border>
      <left style="dashed">
        <color indexed="64"/>
      </left>
      <right style="medium">
        <color indexed="64"/>
      </right>
      <top/>
      <bottom/>
      <diagonal/>
    </border>
    <border>
      <left style="thin">
        <color indexed="64"/>
      </left>
      <right style="dashed">
        <color indexed="64"/>
      </right>
      <top style="thin">
        <color indexed="64"/>
      </top>
      <bottom style="thin">
        <color indexed="64"/>
      </bottom>
      <diagonal/>
    </border>
    <border>
      <left style="thin">
        <color indexed="64"/>
      </left>
      <right/>
      <top/>
      <bottom style="medium">
        <color auto="1"/>
      </bottom>
      <diagonal/>
    </border>
    <border>
      <left style="thin">
        <color indexed="64"/>
      </left>
      <right/>
      <top style="medium">
        <color auto="1"/>
      </top>
      <bottom style="thin">
        <color indexed="64"/>
      </bottom>
      <diagonal/>
    </border>
    <border>
      <left/>
      <right style="medium">
        <color auto="1"/>
      </right>
      <top style="medium">
        <color auto="1"/>
      </top>
      <bottom style="thin">
        <color indexed="64"/>
      </bottom>
      <diagonal/>
    </border>
    <border>
      <left style="medium">
        <color indexed="64"/>
      </left>
      <right/>
      <top/>
      <bottom style="thin">
        <color indexed="64"/>
      </bottom>
      <diagonal/>
    </border>
    <border>
      <left/>
      <right style="medium">
        <color auto="1"/>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style="medium">
        <color indexed="64"/>
      </bottom>
      <diagonal/>
    </border>
    <border>
      <left style="medium">
        <color indexed="64"/>
      </left>
      <right/>
      <top style="thin">
        <color indexed="64"/>
      </top>
      <bottom/>
      <diagonal/>
    </border>
    <border>
      <left/>
      <right style="medium">
        <color auto="1"/>
      </right>
      <top style="thin">
        <color indexed="64"/>
      </top>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style="thick">
        <color theme="0"/>
      </right>
      <top style="medium">
        <color indexed="64"/>
      </top>
      <bottom/>
      <diagonal/>
    </border>
    <border>
      <left style="medium">
        <color indexed="64"/>
      </left>
      <right style="thick">
        <color theme="0"/>
      </right>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12">
    <xf numFmtId="0" fontId="0" fillId="0" borderId="0"/>
    <xf numFmtId="0" fontId="10" fillId="0" borderId="0"/>
    <xf numFmtId="9" fontId="24" fillId="0" borderId="0" applyFont="0" applyFill="0" applyBorder="0" applyAlignment="0" applyProtection="0"/>
    <xf numFmtId="0" fontId="34" fillId="0" borderId="0" applyNumberFormat="0" applyFill="0" applyBorder="0" applyAlignment="0" applyProtection="0">
      <alignment vertical="top"/>
      <protection locked="0"/>
    </xf>
    <xf numFmtId="43" fontId="35" fillId="0" borderId="0" applyFont="0" applyFill="0" applyBorder="0" applyAlignment="0" applyProtection="0"/>
    <xf numFmtId="0" fontId="37" fillId="15" borderId="0">
      <alignment vertical="top"/>
    </xf>
    <xf numFmtId="37" fontId="15" fillId="0" borderId="0" applyFont="0" applyFill="0" applyBorder="0" applyAlignment="0" applyProtection="0"/>
    <xf numFmtId="9" fontId="15" fillId="0" borderId="0" applyFont="0" applyFill="0" applyBorder="0" applyAlignment="0" applyProtection="0"/>
    <xf numFmtId="0" fontId="37" fillId="16" borderId="0" applyNumberFormat="0" applyFont="0" applyBorder="0" applyAlignment="0">
      <alignment vertical="top"/>
      <protection locked="0"/>
    </xf>
    <xf numFmtId="0" fontId="37" fillId="17" borderId="58" applyNumberFormat="0" applyFont="0" applyBorder="0" applyAlignment="0">
      <alignment vertical="top"/>
    </xf>
    <xf numFmtId="0" fontId="13" fillId="18" borderId="54">
      <alignment horizontal="center" vertical="center" wrapText="1"/>
    </xf>
    <xf numFmtId="0" fontId="13" fillId="18" borderId="54" applyNumberFormat="0">
      <alignment horizontal="centerContinuous" vertical="center" wrapText="1"/>
    </xf>
  </cellStyleXfs>
  <cellXfs count="1293">
    <xf numFmtId="0" fontId="0" fillId="0" borderId="0" xfId="0"/>
    <xf numFmtId="0" fontId="6" fillId="0" borderId="0" xfId="0" applyFont="1"/>
    <xf numFmtId="0" fontId="6" fillId="2" borderId="0" xfId="0" applyFont="1" applyFill="1"/>
    <xf numFmtId="0" fontId="6" fillId="0" borderId="0" xfId="0" applyFont="1" applyBorder="1"/>
    <xf numFmtId="0" fontId="6" fillId="4" borderId="3" xfId="0" applyFont="1" applyFill="1" applyBorder="1"/>
    <xf numFmtId="0" fontId="6" fillId="4" borderId="0" xfId="0" applyFont="1" applyFill="1" applyBorder="1"/>
    <xf numFmtId="0" fontId="8" fillId="3" borderId="0" xfId="0" applyFont="1" applyFill="1" applyBorder="1"/>
    <xf numFmtId="0" fontId="8" fillId="3" borderId="5" xfId="0" applyFont="1" applyFill="1" applyBorder="1"/>
    <xf numFmtId="0" fontId="8" fillId="3" borderId="6" xfId="0" applyFont="1" applyFill="1" applyBorder="1"/>
    <xf numFmtId="0" fontId="12" fillId="3" borderId="6" xfId="0" applyFont="1" applyFill="1" applyBorder="1" applyAlignment="1">
      <alignment textRotation="90"/>
    </xf>
    <xf numFmtId="0" fontId="6" fillId="3" borderId="6" xfId="0" applyFont="1" applyFill="1" applyBorder="1"/>
    <xf numFmtId="0" fontId="6" fillId="3" borderId="7" xfId="0" applyFont="1" applyFill="1" applyBorder="1"/>
    <xf numFmtId="0" fontId="11" fillId="3" borderId="6" xfId="0" applyFont="1" applyFill="1" applyBorder="1"/>
    <xf numFmtId="0" fontId="18" fillId="0" borderId="0" xfId="0" applyFont="1"/>
    <xf numFmtId="2" fontId="10" fillId="0" borderId="0" xfId="1" applyNumberFormat="1" applyAlignment="1">
      <alignment vertical="top" wrapText="1"/>
    </xf>
    <xf numFmtId="2" fontId="10" fillId="0" borderId="0" xfId="1" applyNumberFormat="1" applyAlignment="1">
      <alignment vertical="top"/>
    </xf>
    <xf numFmtId="0" fontId="10" fillId="0" borderId="0" xfId="1" applyFill="1" applyAlignment="1">
      <alignment vertical="top" wrapText="1"/>
    </xf>
    <xf numFmtId="0" fontId="0" fillId="0" borderId="0" xfId="0" applyFill="1"/>
    <xf numFmtId="0" fontId="10" fillId="0" borderId="0" xfId="1"/>
    <xf numFmtId="0" fontId="9" fillId="0" borderId="9" xfId="1" applyFont="1" applyBorder="1" applyAlignment="1">
      <alignment wrapText="1"/>
    </xf>
    <xf numFmtId="0" fontId="10" fillId="0" borderId="0" xfId="1" applyAlignment="1">
      <alignment horizontal="left" vertical="top"/>
    </xf>
    <xf numFmtId="0" fontId="10" fillId="6" borderId="0" xfId="1" applyFill="1" applyAlignment="1">
      <alignment horizontal="left" vertical="top"/>
    </xf>
    <xf numFmtId="0" fontId="9" fillId="6" borderId="9" xfId="1" applyFont="1" applyFill="1" applyBorder="1" applyAlignment="1">
      <alignment horizontal="center" wrapText="1"/>
    </xf>
    <xf numFmtId="0" fontId="10" fillId="0" borderId="9" xfId="1" applyBorder="1" applyAlignment="1">
      <alignment horizontal="left" vertical="top" wrapText="1"/>
    </xf>
    <xf numFmtId="0" fontId="10" fillId="6" borderId="9" xfId="1" applyFill="1" applyBorder="1" applyAlignment="1">
      <alignment horizontal="left" vertical="top" wrapText="1"/>
    </xf>
    <xf numFmtId="164" fontId="10" fillId="6" borderId="9" xfId="1" applyNumberFormat="1" applyFill="1" applyBorder="1" applyAlignment="1">
      <alignment horizontal="left" vertical="top" wrapText="1"/>
    </xf>
    <xf numFmtId="164" fontId="10" fillId="0" borderId="9" xfId="1" applyNumberFormat="1" applyBorder="1" applyAlignment="1">
      <alignment horizontal="left" vertical="top" wrapText="1"/>
    </xf>
    <xf numFmtId="0" fontId="10" fillId="0" borderId="9" xfId="1" applyFont="1" applyBorder="1" applyAlignment="1">
      <alignment horizontal="left" vertical="top" wrapText="1"/>
    </xf>
    <xf numFmtId="0" fontId="10" fillId="0" borderId="9" xfId="1" applyBorder="1" applyAlignment="1">
      <alignment horizontal="left" vertical="top"/>
    </xf>
    <xf numFmtId="0" fontId="10" fillId="0" borderId="9" xfId="1" applyFill="1" applyBorder="1" applyAlignment="1">
      <alignment horizontal="left" vertical="top" wrapText="1"/>
    </xf>
    <xf numFmtId="0" fontId="21" fillId="0" borderId="9" xfId="1" applyFont="1" applyBorder="1" applyAlignment="1">
      <alignment horizontal="left" vertical="top" wrapText="1"/>
    </xf>
    <xf numFmtId="0" fontId="10" fillId="6" borderId="9" xfId="1" applyFill="1" applyBorder="1" applyAlignment="1">
      <alignment horizontal="left" vertical="top"/>
    </xf>
    <xf numFmtId="0" fontId="10" fillId="0" borderId="10" xfId="1" applyFont="1" applyBorder="1" applyAlignment="1">
      <alignment horizontal="left" vertical="top" wrapText="1"/>
    </xf>
    <xf numFmtId="0" fontId="10" fillId="0" borderId="10" xfId="1" applyBorder="1" applyAlignment="1">
      <alignment horizontal="left" vertical="top" wrapText="1"/>
    </xf>
    <xf numFmtId="0" fontId="10" fillId="6" borderId="10" xfId="1" applyFill="1" applyBorder="1" applyAlignment="1">
      <alignment horizontal="left" vertical="top" wrapText="1"/>
    </xf>
    <xf numFmtId="0" fontId="9" fillId="0" borderId="11" xfId="1" applyFont="1" applyBorder="1" applyAlignment="1">
      <alignment horizontal="left" vertical="top"/>
    </xf>
    <xf numFmtId="0" fontId="10" fillId="0" borderId="11" xfId="1" applyBorder="1" applyAlignment="1">
      <alignment horizontal="left" vertical="top"/>
    </xf>
    <xf numFmtId="0" fontId="10" fillId="6" borderId="11" xfId="1" applyFill="1" applyBorder="1" applyAlignment="1">
      <alignment horizontal="left" vertical="top"/>
    </xf>
    <xf numFmtId="0" fontId="10" fillId="0" borderId="11" xfId="1" applyBorder="1" applyAlignment="1">
      <alignment horizontal="left" vertical="top" wrapText="1"/>
    </xf>
    <xf numFmtId="0" fontId="10" fillId="0" borderId="12" xfId="1" applyBorder="1" applyAlignment="1">
      <alignment horizontal="left" vertical="top"/>
    </xf>
    <xf numFmtId="0" fontId="10" fillId="6" borderId="12" xfId="1" applyFill="1" applyBorder="1" applyAlignment="1">
      <alignment horizontal="left" vertical="top"/>
    </xf>
    <xf numFmtId="0" fontId="10" fillId="0" borderId="12" xfId="1" applyBorder="1" applyAlignment="1">
      <alignment horizontal="left" vertical="top" wrapText="1"/>
    </xf>
    <xf numFmtId="0" fontId="6" fillId="0" borderId="0" xfId="0" applyFont="1" applyAlignment="1">
      <alignment vertical="center"/>
    </xf>
    <xf numFmtId="0" fontId="8" fillId="3" borderId="6" xfId="0" applyFont="1" applyFill="1" applyBorder="1" applyAlignment="1">
      <alignment vertical="center"/>
    </xf>
    <xf numFmtId="0" fontId="6" fillId="0" borderId="0" xfId="0" applyFont="1" applyFill="1"/>
    <xf numFmtId="14" fontId="6" fillId="0" borderId="15" xfId="0" applyNumberFormat="1" applyFont="1" applyBorder="1"/>
    <xf numFmtId="20" fontId="6" fillId="0" borderId="15" xfId="0" applyNumberFormat="1" applyFont="1" applyBorder="1"/>
    <xf numFmtId="0" fontId="26" fillId="3" borderId="0" xfId="0" applyFont="1" applyFill="1" applyBorder="1"/>
    <xf numFmtId="0" fontId="6" fillId="7" borderId="17" xfId="0" applyFont="1" applyFill="1" applyBorder="1"/>
    <xf numFmtId="0" fontId="6" fillId="8" borderId="4" xfId="0" applyFont="1" applyFill="1" applyBorder="1"/>
    <xf numFmtId="0" fontId="6" fillId="8" borderId="1" xfId="0" applyFont="1" applyFill="1" applyBorder="1"/>
    <xf numFmtId="0" fontId="6" fillId="8" borderId="2" xfId="0" applyFont="1" applyFill="1" applyBorder="1"/>
    <xf numFmtId="2" fontId="7" fillId="8" borderId="16" xfId="0" applyNumberFormat="1" applyFont="1" applyFill="1" applyBorder="1" applyAlignment="1">
      <alignment horizontal="center" vertical="center"/>
    </xf>
    <xf numFmtId="0" fontId="6" fillId="8" borderId="16" xfId="0" applyFont="1" applyFill="1" applyBorder="1"/>
    <xf numFmtId="0" fontId="15" fillId="0" borderId="0" xfId="0" applyFont="1"/>
    <xf numFmtId="0" fontId="0" fillId="0" borderId="0" xfId="0" applyAlignment="1">
      <alignment horizontal="left" vertical="center"/>
    </xf>
    <xf numFmtId="0" fontId="0" fillId="0" borderId="0" xfId="0" applyProtection="1"/>
    <xf numFmtId="0" fontId="10" fillId="0" borderId="0" xfId="1" applyFill="1" applyAlignment="1">
      <alignment horizontal="center" vertical="center" wrapText="1"/>
    </xf>
    <xf numFmtId="0" fontId="0" fillId="0" borderId="0" xfId="0" applyFill="1" applyAlignment="1">
      <alignment horizontal="center" vertical="center"/>
    </xf>
    <xf numFmtId="0" fontId="0" fillId="0" borderId="13" xfId="0" applyFill="1" applyBorder="1" applyAlignment="1" applyProtection="1">
      <alignment horizontal="left" vertical="center" wrapText="1"/>
      <protection hidden="1"/>
    </xf>
    <xf numFmtId="0" fontId="0" fillId="0" borderId="0" xfId="0" applyFill="1" applyBorder="1" applyAlignment="1" applyProtection="1">
      <alignment horizontal="left" vertical="center" wrapText="1"/>
      <protection hidden="1"/>
    </xf>
    <xf numFmtId="0" fontId="0" fillId="0" borderId="0" xfId="0" applyFill="1" applyBorder="1" applyAlignment="1" applyProtection="1">
      <alignment horizontal="center" vertical="center" wrapText="1"/>
      <protection hidden="1"/>
    </xf>
    <xf numFmtId="0" fontId="0" fillId="0" borderId="13" xfId="0" applyFill="1" applyBorder="1" applyAlignment="1" applyProtection="1">
      <alignment horizontal="left" vertical="center"/>
      <protection hidden="1"/>
    </xf>
    <xf numFmtId="0" fontId="0" fillId="0" borderId="0" xfId="0" applyBorder="1" applyProtection="1">
      <protection hidden="1"/>
    </xf>
    <xf numFmtId="0" fontId="0" fillId="0" borderId="14" xfId="0" applyFill="1" applyBorder="1" applyAlignment="1" applyProtection="1">
      <alignment horizontal="left" vertical="center"/>
      <protection hidden="1"/>
    </xf>
    <xf numFmtId="0" fontId="0" fillId="0" borderId="23" xfId="0" applyFill="1" applyBorder="1" applyAlignment="1" applyProtection="1">
      <alignment horizontal="left" vertical="center"/>
      <protection hidden="1"/>
    </xf>
    <xf numFmtId="0" fontId="23" fillId="0" borderId="23" xfId="0" applyFont="1" applyBorder="1" applyProtection="1">
      <protection hidden="1"/>
    </xf>
    <xf numFmtId="0" fontId="0" fillId="0" borderId="24" xfId="0" applyFill="1" applyBorder="1" applyProtection="1">
      <protection hidden="1"/>
    </xf>
    <xf numFmtId="0" fontId="0" fillId="0" borderId="0" xfId="0" applyBorder="1" applyAlignment="1" applyProtection="1">
      <alignment horizontal="center"/>
      <protection hidden="1"/>
    </xf>
    <xf numFmtId="0" fontId="0" fillId="0" borderId="21" xfId="0" applyBorder="1" applyAlignment="1" applyProtection="1">
      <alignment horizontal="center"/>
      <protection hidden="1"/>
    </xf>
    <xf numFmtId="0" fontId="0" fillId="0" borderId="21" xfId="0" applyFill="1" applyBorder="1" applyAlignment="1" applyProtection="1">
      <alignment horizontal="center" vertical="center" wrapText="1"/>
      <protection hidden="1"/>
    </xf>
    <xf numFmtId="49" fontId="9" fillId="0" borderId="0" xfId="1" applyNumberFormat="1" applyFont="1" applyFill="1" applyBorder="1" applyAlignment="1">
      <alignment horizontal="left" wrapText="1"/>
    </xf>
    <xf numFmtId="0" fontId="15" fillId="0" borderId="13" xfId="0" applyFont="1" applyFill="1" applyBorder="1" applyAlignment="1" applyProtection="1">
      <alignment horizontal="left" vertical="center" wrapText="1"/>
      <protection hidden="1"/>
    </xf>
    <xf numFmtId="0" fontId="15" fillId="0" borderId="21" xfId="0" applyFont="1" applyFill="1" applyBorder="1" applyAlignment="1" applyProtection="1">
      <alignment horizontal="left" vertical="center" wrapText="1"/>
      <protection hidden="1"/>
    </xf>
    <xf numFmtId="0" fontId="29" fillId="0" borderId="0" xfId="1" applyFont="1" applyFill="1" applyAlignment="1">
      <alignment horizontal="left" vertical="top" wrapText="1"/>
    </xf>
    <xf numFmtId="0" fontId="0" fillId="0" borderId="0" xfId="0" applyBorder="1"/>
    <xf numFmtId="0" fontId="0" fillId="0" borderId="0" xfId="0" applyAlignment="1">
      <alignment horizontal="center"/>
    </xf>
    <xf numFmtId="0" fontId="0" fillId="0" borderId="0" xfId="0" applyAlignment="1">
      <alignment horizontal="right"/>
    </xf>
    <xf numFmtId="1" fontId="0" fillId="0" borderId="0" xfId="0" applyNumberFormat="1"/>
    <xf numFmtId="0" fontId="15" fillId="0" borderId="0" xfId="0" applyFont="1" applyAlignment="1">
      <alignment horizontal="right"/>
    </xf>
    <xf numFmtId="0" fontId="23" fillId="0" borderId="34" xfId="0" applyFont="1" applyBorder="1" applyAlignment="1">
      <alignment horizontal="center" wrapText="1"/>
    </xf>
    <xf numFmtId="0" fontId="33" fillId="0" borderId="14" xfId="0" applyFont="1" applyBorder="1" applyAlignment="1">
      <alignment horizontal="right"/>
    </xf>
    <xf numFmtId="1" fontId="33" fillId="0" borderId="23" xfId="0" applyNumberFormat="1" applyFont="1" applyBorder="1"/>
    <xf numFmtId="14" fontId="0" fillId="0" borderId="46" xfId="0" applyNumberFormat="1" applyBorder="1"/>
    <xf numFmtId="14" fontId="0" fillId="0" borderId="47" xfId="0" applyNumberFormat="1" applyBorder="1"/>
    <xf numFmtId="14" fontId="0" fillId="0" borderId="48" xfId="0" applyNumberFormat="1" applyBorder="1"/>
    <xf numFmtId="1" fontId="33" fillId="0" borderId="49" xfId="0" applyNumberFormat="1" applyFont="1" applyBorder="1" applyAlignment="1">
      <alignment horizontal="right"/>
    </xf>
    <xf numFmtId="0" fontId="0" fillId="14" borderId="41" xfId="0" applyFill="1" applyBorder="1" applyAlignment="1"/>
    <xf numFmtId="1" fontId="0" fillId="10" borderId="51" xfId="0" applyNumberFormat="1" applyFill="1" applyBorder="1"/>
    <xf numFmtId="1" fontId="0" fillId="10" borderId="52" xfId="0" applyNumberFormat="1" applyFill="1" applyBorder="1"/>
    <xf numFmtId="1" fontId="0" fillId="10" borderId="53" xfId="0" applyNumberFormat="1" applyFill="1" applyBorder="1"/>
    <xf numFmtId="49" fontId="36" fillId="10" borderId="36" xfId="0" applyNumberFormat="1" applyFont="1" applyFill="1" applyBorder="1" applyAlignment="1">
      <alignment horizontal="center" vertical="center" wrapText="1"/>
    </xf>
    <xf numFmtId="37" fontId="15" fillId="0" borderId="0" xfId="6" applyFont="1" applyFill="1" applyAlignment="1">
      <alignment vertical="top"/>
    </xf>
    <xf numFmtId="10" fontId="15" fillId="0" borderId="0" xfId="7" applyNumberFormat="1" applyFont="1" applyFill="1" applyAlignment="1">
      <alignment vertical="top"/>
    </xf>
    <xf numFmtId="0" fontId="15" fillId="0" borderId="0" xfId="5" applyFont="1" applyFill="1">
      <alignment vertical="top"/>
    </xf>
    <xf numFmtId="0" fontId="15" fillId="0" borderId="0" xfId="5" applyFont="1" applyFill="1" applyAlignment="1">
      <alignment horizontal="right" vertical="top"/>
    </xf>
    <xf numFmtId="2" fontId="15" fillId="0" borderId="0" xfId="5" applyNumberFormat="1" applyFont="1" applyFill="1">
      <alignment vertical="top"/>
    </xf>
    <xf numFmtId="0" fontId="15" fillId="0" borderId="0" xfId="5" applyFont="1" applyFill="1" applyBorder="1" applyAlignment="1">
      <alignment vertical="top" wrapText="1"/>
    </xf>
    <xf numFmtId="0" fontId="15" fillId="0" borderId="0" xfId="5" applyFont="1" applyFill="1" applyAlignment="1">
      <alignment vertical="top"/>
    </xf>
    <xf numFmtId="0" fontId="15" fillId="0" borderId="0" xfId="5" applyFont="1" applyFill="1" applyBorder="1">
      <alignment vertical="top"/>
    </xf>
    <xf numFmtId="0" fontId="23" fillId="0" borderId="0" xfId="5" applyFont="1" applyFill="1" applyBorder="1" applyAlignment="1">
      <alignment horizontal="right" vertical="top"/>
    </xf>
    <xf numFmtId="1" fontId="15" fillId="0" borderId="0" xfId="5" applyNumberFormat="1" applyFont="1" applyFill="1">
      <alignment vertical="top"/>
    </xf>
    <xf numFmtId="0" fontId="15" fillId="0" borderId="0" xfId="5" applyFont="1" applyFill="1" applyAlignment="1">
      <alignment vertical="top" wrapText="1"/>
    </xf>
    <xf numFmtId="37" fontId="15" fillId="0" borderId="0" xfId="5" applyNumberFormat="1" applyFont="1" applyFill="1">
      <alignment vertical="top"/>
    </xf>
    <xf numFmtId="14" fontId="15" fillId="0" borderId="0" xfId="5" applyNumberFormat="1" applyFont="1" applyFill="1">
      <alignment vertical="top"/>
    </xf>
    <xf numFmtId="14" fontId="0" fillId="0" borderId="0" xfId="0" applyNumberFormat="1"/>
    <xf numFmtId="14" fontId="30" fillId="14" borderId="40" xfId="0" applyNumberFormat="1" applyFont="1" applyFill="1" applyBorder="1" applyAlignment="1"/>
    <xf numFmtId="14" fontId="15" fillId="0" borderId="25" xfId="5" applyNumberFormat="1" applyFont="1" applyFill="1" applyBorder="1">
      <alignment vertical="top"/>
    </xf>
    <xf numFmtId="14" fontId="15" fillId="0" borderId="26" xfId="5" applyNumberFormat="1" applyFont="1" applyFill="1" applyBorder="1">
      <alignment vertical="top"/>
    </xf>
    <xf numFmtId="14" fontId="0" fillId="0" borderId="46" xfId="0" applyNumberFormat="1" applyBorder="1" applyAlignment="1">
      <alignment wrapText="1"/>
    </xf>
    <xf numFmtId="1" fontId="0" fillId="10" borderId="52" xfId="0" applyNumberFormat="1" applyFill="1" applyBorder="1" applyAlignment="1">
      <alignment wrapText="1"/>
    </xf>
    <xf numFmtId="14" fontId="15" fillId="0" borderId="0" xfId="5" applyNumberFormat="1" applyFont="1" applyFill="1" applyAlignment="1">
      <alignment vertical="top" wrapText="1"/>
    </xf>
    <xf numFmtId="20" fontId="6" fillId="0" borderId="0" xfId="0" applyNumberFormat="1" applyFont="1" applyBorder="1"/>
    <xf numFmtId="0" fontId="0" fillId="0" borderId="0" xfId="0" applyFill="1" applyBorder="1" applyAlignment="1" applyProtection="1">
      <alignment horizontal="left" vertical="center"/>
      <protection hidden="1"/>
    </xf>
    <xf numFmtId="0" fontId="40" fillId="0" borderId="0" xfId="0" applyFont="1"/>
    <xf numFmtId="0" fontId="0" fillId="0" borderId="60" xfId="0" applyBorder="1"/>
    <xf numFmtId="0" fontId="0" fillId="0" borderId="60" xfId="0" applyFill="1" applyBorder="1"/>
    <xf numFmtId="0" fontId="30" fillId="0" borderId="0" xfId="0" applyFont="1" applyFill="1" applyBorder="1" applyAlignment="1">
      <alignment horizontal="center" vertical="center"/>
    </xf>
    <xf numFmtId="0" fontId="30" fillId="0" borderId="0" xfId="0" applyFont="1" applyFill="1" applyBorder="1" applyAlignment="1">
      <alignment horizontal="center" vertical="center" wrapText="1"/>
    </xf>
    <xf numFmtId="14" fontId="6" fillId="7" borderId="17" xfId="0" applyNumberFormat="1" applyFont="1" applyFill="1" applyBorder="1"/>
    <xf numFmtId="2" fontId="6" fillId="7" borderId="17" xfId="0" applyNumberFormat="1" applyFont="1" applyFill="1" applyBorder="1"/>
    <xf numFmtId="0" fontId="19" fillId="21" borderId="0" xfId="0" applyFont="1" applyFill="1" applyBorder="1" applyAlignment="1">
      <alignment horizontal="left" vertical="center" wrapText="1"/>
    </xf>
    <xf numFmtId="0" fontId="8" fillId="3" borderId="27" xfId="0" applyFont="1" applyFill="1" applyBorder="1"/>
    <xf numFmtId="0" fontId="8" fillId="3" borderId="33" xfId="0" applyFont="1" applyFill="1" applyBorder="1"/>
    <xf numFmtId="0" fontId="8" fillId="3" borderId="28" xfId="0" applyFont="1" applyFill="1" applyBorder="1"/>
    <xf numFmtId="0" fontId="8" fillId="3" borderId="32" xfId="0" applyFont="1" applyFill="1" applyBorder="1"/>
    <xf numFmtId="0" fontId="26" fillId="3" borderId="30" xfId="0" applyFont="1" applyFill="1" applyBorder="1"/>
    <xf numFmtId="0" fontId="8" fillId="3" borderId="31" xfId="0" applyFont="1" applyFill="1" applyBorder="1"/>
    <xf numFmtId="14" fontId="6" fillId="0" borderId="0" xfId="0" applyNumberFormat="1" applyFont="1"/>
    <xf numFmtId="0" fontId="23" fillId="0" borderId="0" xfId="0" applyFont="1" applyBorder="1" applyProtection="1">
      <protection hidden="1"/>
    </xf>
    <xf numFmtId="0" fontId="0" fillId="0" borderId="0" xfId="0" applyFill="1" applyBorder="1" applyProtection="1">
      <protection hidden="1"/>
    </xf>
    <xf numFmtId="2" fontId="10" fillId="0" borderId="0" xfId="1" applyNumberFormat="1" applyBorder="1" applyAlignment="1">
      <alignment vertical="top"/>
    </xf>
    <xf numFmtId="0" fontId="0" fillId="0" borderId="61" xfId="0" applyFill="1" applyBorder="1" applyAlignment="1" applyProtection="1">
      <alignment horizontal="left" vertical="center" wrapText="1"/>
      <protection hidden="1"/>
    </xf>
    <xf numFmtId="0" fontId="0" fillId="0" borderId="61" xfId="0" applyFill="1" applyBorder="1" applyAlignment="1" applyProtection="1">
      <alignment horizontal="left" vertical="center"/>
      <protection hidden="1"/>
    </xf>
    <xf numFmtId="0" fontId="15" fillId="0" borderId="0" xfId="0" applyFont="1" applyBorder="1" applyAlignment="1">
      <alignment horizontal="left" vertical="center"/>
    </xf>
    <xf numFmtId="0" fontId="23" fillId="0" borderId="0" xfId="0" applyFont="1" applyBorder="1" applyAlignment="1">
      <alignment horizontal="right" vertical="center"/>
    </xf>
    <xf numFmtId="0" fontId="23" fillId="0" borderId="0" xfId="0" applyFont="1" applyBorder="1" applyAlignment="1" applyProtection="1">
      <alignment horizontal="center"/>
      <protection hidden="1"/>
    </xf>
    <xf numFmtId="9" fontId="15" fillId="0" borderId="0" xfId="2" applyFont="1" applyBorder="1" applyAlignment="1" applyProtection="1">
      <alignment horizontal="center"/>
      <protection hidden="1"/>
    </xf>
    <xf numFmtId="0" fontId="15" fillId="0" borderId="0" xfId="0" applyFont="1" applyBorder="1" applyAlignment="1">
      <alignment horizontal="center"/>
    </xf>
    <xf numFmtId="0" fontId="0" fillId="0" borderId="62" xfId="0" applyBorder="1"/>
    <xf numFmtId="0" fontId="0" fillId="0" borderId="62" xfId="0" applyFill="1" applyBorder="1" applyProtection="1">
      <protection hidden="1"/>
    </xf>
    <xf numFmtId="0" fontId="0" fillId="0" borderId="63" xfId="0" applyFill="1" applyBorder="1"/>
    <xf numFmtId="0" fontId="0" fillId="0" borderId="64" xfId="0" applyFill="1" applyBorder="1" applyAlignment="1">
      <alignment horizontal="center" vertical="center"/>
    </xf>
    <xf numFmtId="0" fontId="0" fillId="0" borderId="64" xfId="0" applyFill="1" applyBorder="1"/>
    <xf numFmtId="0" fontId="0" fillId="0" borderId="65" xfId="0" applyBorder="1"/>
    <xf numFmtId="49" fontId="36" fillId="22" borderId="36" xfId="0" applyNumberFormat="1" applyFont="1" applyFill="1" applyBorder="1" applyAlignment="1">
      <alignment horizontal="center" vertical="center" wrapText="1"/>
    </xf>
    <xf numFmtId="1" fontId="0" fillId="22" borderId="51" xfId="0" applyNumberFormat="1" applyFill="1" applyBorder="1"/>
    <xf numFmtId="1" fontId="0" fillId="22" borderId="52" xfId="0" applyNumberFormat="1" applyFill="1" applyBorder="1"/>
    <xf numFmtId="1" fontId="0" fillId="22" borderId="53" xfId="0" applyNumberFormat="1" applyFill="1" applyBorder="1"/>
    <xf numFmtId="0" fontId="15" fillId="0" borderId="0" xfId="0" applyFont="1" applyBorder="1"/>
    <xf numFmtId="14" fontId="9" fillId="22" borderId="15" xfId="1" applyNumberFormat="1" applyFont="1" applyFill="1" applyBorder="1" applyAlignment="1">
      <alignment horizontal="center" wrapText="1"/>
    </xf>
    <xf numFmtId="168" fontId="9" fillId="22" borderId="15" xfId="4" applyNumberFormat="1" applyFont="1" applyFill="1" applyBorder="1" applyAlignment="1">
      <alignment horizontal="right" wrapText="1"/>
    </xf>
    <xf numFmtId="0" fontId="20" fillId="22" borderId="8" xfId="0" applyFont="1" applyFill="1" applyBorder="1"/>
    <xf numFmtId="0" fontId="20" fillId="22" borderId="19" xfId="0" applyFont="1" applyFill="1" applyBorder="1"/>
    <xf numFmtId="0" fontId="20" fillId="22" borderId="19" xfId="0" applyFont="1" applyFill="1" applyBorder="1" applyAlignment="1">
      <alignment horizontal="right"/>
    </xf>
    <xf numFmtId="0" fontId="20" fillId="22" borderId="14" xfId="0" applyFont="1" applyFill="1" applyBorder="1"/>
    <xf numFmtId="0" fontId="15" fillId="0" borderId="0" xfId="6" applyNumberFormat="1" applyFont="1" applyFill="1" applyAlignment="1">
      <alignment vertical="top"/>
    </xf>
    <xf numFmtId="0" fontId="23" fillId="0" borderId="0" xfId="5" applyFont="1" applyFill="1" applyAlignment="1">
      <alignment vertical="top" wrapText="1"/>
    </xf>
    <xf numFmtId="1" fontId="23" fillId="0" borderId="0" xfId="5" applyNumberFormat="1" applyFont="1" applyFill="1" applyAlignment="1">
      <alignment vertical="top" wrapText="1"/>
    </xf>
    <xf numFmtId="2" fontId="23" fillId="0" borderId="0" xfId="5" applyNumberFormat="1" applyFont="1" applyFill="1" applyAlignment="1">
      <alignment vertical="top" wrapText="1"/>
    </xf>
    <xf numFmtId="37" fontId="54" fillId="0" borderId="0" xfId="6" applyFont="1" applyFill="1" applyAlignment="1">
      <alignment vertical="top"/>
    </xf>
    <xf numFmtId="1" fontId="54" fillId="0" borderId="0" xfId="5" applyNumberFormat="1" applyFont="1" applyFill="1">
      <alignment vertical="top"/>
    </xf>
    <xf numFmtId="170" fontId="15" fillId="0" borderId="0" xfId="5" applyNumberFormat="1" applyFont="1" applyFill="1">
      <alignment vertical="top"/>
    </xf>
    <xf numFmtId="171" fontId="15" fillId="0" borderId="0" xfId="5" applyNumberFormat="1" applyFont="1" applyFill="1">
      <alignment vertical="top"/>
    </xf>
    <xf numFmtId="49" fontId="15" fillId="0" borderId="0" xfId="5" applyNumberFormat="1" applyFont="1" applyFill="1">
      <alignment vertical="top"/>
    </xf>
    <xf numFmtId="0" fontId="15" fillId="0" borderId="0" xfId="0" applyFont="1" applyProtection="1"/>
    <xf numFmtId="14" fontId="6" fillId="0" borderId="0" xfId="0" applyNumberFormat="1" applyFont="1" applyBorder="1"/>
    <xf numFmtId="0" fontId="30" fillId="9" borderId="57" xfId="0" applyFont="1" applyFill="1" applyBorder="1" applyAlignment="1" applyProtection="1">
      <alignment horizontal="left" vertical="center"/>
      <protection hidden="1"/>
    </xf>
    <xf numFmtId="0" fontId="0" fillId="9" borderId="56" xfId="0" applyFill="1" applyBorder="1" applyAlignment="1" applyProtection="1">
      <alignment horizontal="left" vertical="center" wrapText="1"/>
      <protection hidden="1"/>
    </xf>
    <xf numFmtId="0" fontId="23" fillId="9" borderId="56" xfId="0" applyFont="1" applyFill="1" applyBorder="1" applyProtection="1">
      <protection hidden="1"/>
    </xf>
    <xf numFmtId="0" fontId="23" fillId="0" borderId="0" xfId="0" applyFont="1" applyBorder="1" applyAlignment="1">
      <alignment horizontal="right"/>
    </xf>
    <xf numFmtId="0" fontId="56" fillId="0" borderId="0" xfId="0" applyFont="1" applyBorder="1" applyAlignment="1">
      <alignment horizontal="left" vertical="center" indent="8"/>
    </xf>
    <xf numFmtId="0" fontId="0" fillId="0" borderId="0" xfId="0" applyFill="1" applyBorder="1"/>
    <xf numFmtId="0" fontId="57" fillId="0" borderId="0" xfId="0" applyFont="1" applyBorder="1" applyAlignment="1">
      <alignment horizontal="left" vertical="center" indent="8"/>
    </xf>
    <xf numFmtId="0" fontId="0" fillId="0" borderId="21" xfId="0" applyFill="1" applyBorder="1"/>
    <xf numFmtId="0" fontId="0" fillId="0" borderId="14" xfId="0" applyFill="1" applyBorder="1"/>
    <xf numFmtId="1" fontId="23" fillId="0" borderId="0" xfId="0" applyNumberFormat="1" applyFont="1" applyAlignment="1">
      <alignment horizontal="left" wrapText="1"/>
    </xf>
    <xf numFmtId="0" fontId="23" fillId="0" borderId="0" xfId="5" applyFont="1" applyFill="1" applyAlignment="1">
      <alignment horizontal="left" wrapText="1"/>
    </xf>
    <xf numFmtId="0" fontId="23" fillId="0" borderId="0" xfId="0" applyFont="1"/>
    <xf numFmtId="14" fontId="55" fillId="0" borderId="0" xfId="5" applyNumberFormat="1" applyFont="1" applyFill="1" applyAlignment="1">
      <alignment horizontal="left" wrapText="1"/>
    </xf>
    <xf numFmtId="2" fontId="55" fillId="0" borderId="0" xfId="5" applyNumberFormat="1" applyFont="1" applyFill="1" applyAlignment="1">
      <alignment horizontal="left" wrapText="1"/>
    </xf>
    <xf numFmtId="1" fontId="55" fillId="0" borderId="0" xfId="0" applyNumberFormat="1" applyFont="1" applyAlignment="1">
      <alignment horizontal="left" wrapText="1"/>
    </xf>
    <xf numFmtId="1" fontId="23" fillId="0" borderId="0" xfId="0" applyNumberFormat="1" applyFont="1" applyAlignment="1">
      <alignment horizontal="left" vertical="top" wrapText="1"/>
    </xf>
    <xf numFmtId="2" fontId="0" fillId="0" borderId="0" xfId="2" applyNumberFormat="1" applyFont="1"/>
    <xf numFmtId="14" fontId="55" fillId="0" borderId="0" xfId="5" applyNumberFormat="1" applyFont="1" applyFill="1" applyAlignment="1">
      <alignment horizontal="right" wrapText="1"/>
    </xf>
    <xf numFmtId="1" fontId="23" fillId="0" borderId="8" xfId="0" applyNumberFormat="1" applyFont="1" applyBorder="1" applyAlignment="1">
      <alignment wrapText="1"/>
    </xf>
    <xf numFmtId="1" fontId="23" fillId="0" borderId="19" xfId="0" applyNumberFormat="1" applyFont="1" applyBorder="1"/>
    <xf numFmtId="1" fontId="23" fillId="0" borderId="20" xfId="0" applyNumberFormat="1" applyFont="1" applyBorder="1" applyAlignment="1">
      <alignment wrapText="1"/>
    </xf>
    <xf numFmtId="1" fontId="23" fillId="0" borderId="14" xfId="0" applyNumberFormat="1" applyFont="1" applyBorder="1"/>
    <xf numFmtId="1" fontId="23" fillId="0" borderId="23" xfId="0" applyNumberFormat="1" applyFont="1" applyBorder="1"/>
    <xf numFmtId="1" fontId="23" fillId="0" borderId="24" xfId="0" applyNumberFormat="1" applyFont="1" applyBorder="1"/>
    <xf numFmtId="1" fontId="23" fillId="0" borderId="25" xfId="0" applyNumberFormat="1" applyFont="1" applyBorder="1" applyAlignment="1">
      <alignment wrapText="1"/>
    </xf>
    <xf numFmtId="1" fontId="23" fillId="0" borderId="26" xfId="0" applyNumberFormat="1" applyFont="1" applyBorder="1" applyAlignment="1">
      <alignment wrapText="1"/>
    </xf>
    <xf numFmtId="0" fontId="55" fillId="0" borderId="0" xfId="0" applyFont="1" applyAlignment="1">
      <alignment wrapText="1"/>
    </xf>
    <xf numFmtId="0" fontId="55" fillId="0" borderId="0" xfId="0" applyFont="1" applyAlignment="1">
      <alignment horizontal="left" wrapText="1"/>
    </xf>
    <xf numFmtId="0" fontId="0" fillId="0" borderId="19" xfId="0" applyBorder="1"/>
    <xf numFmtId="0" fontId="0" fillId="0" borderId="20" xfId="0" applyBorder="1"/>
    <xf numFmtId="0" fontId="0" fillId="0" borderId="21" xfId="0" applyBorder="1"/>
    <xf numFmtId="0" fontId="0" fillId="0" borderId="13" xfId="0" applyBorder="1"/>
    <xf numFmtId="0" fontId="23" fillId="0" borderId="0" xfId="0" applyFont="1" applyBorder="1"/>
    <xf numFmtId="0" fontId="0" fillId="0" borderId="68" xfId="0" applyBorder="1"/>
    <xf numFmtId="9" fontId="0" fillId="0" borderId="50" xfId="2" applyFont="1" applyBorder="1"/>
    <xf numFmtId="1" fontId="0" fillId="0" borderId="24" xfId="2" applyNumberFormat="1" applyFont="1" applyBorder="1"/>
    <xf numFmtId="168" fontId="0" fillId="0" borderId="70" xfId="4" applyNumberFormat="1" applyFont="1" applyBorder="1" applyAlignment="1">
      <alignment horizontal="right"/>
    </xf>
    <xf numFmtId="168" fontId="0" fillId="0" borderId="50" xfId="4" applyNumberFormat="1" applyFont="1" applyBorder="1" applyAlignment="1">
      <alignment horizontal="right"/>
    </xf>
    <xf numFmtId="0" fontId="15" fillId="6" borderId="67" xfId="0" applyFont="1" applyFill="1" applyBorder="1"/>
    <xf numFmtId="0" fontId="15" fillId="6" borderId="69" xfId="0" applyFont="1" applyFill="1" applyBorder="1"/>
    <xf numFmtId="0" fontId="15" fillId="6" borderId="47" xfId="0" applyFont="1" applyFill="1" applyBorder="1" applyAlignment="1">
      <alignment horizontal="left"/>
    </xf>
    <xf numFmtId="0" fontId="15" fillId="6" borderId="47" xfId="0" applyFont="1" applyFill="1" applyBorder="1"/>
    <xf numFmtId="0" fontId="15" fillId="6" borderId="14" xfId="0" applyFont="1" applyFill="1" applyBorder="1"/>
    <xf numFmtId="0" fontId="23" fillId="6" borderId="67" xfId="0" applyFont="1" applyFill="1" applyBorder="1"/>
    <xf numFmtId="0" fontId="15" fillId="6" borderId="71" xfId="0" applyFont="1" applyFill="1" applyBorder="1" applyAlignment="1">
      <alignment horizontal="right"/>
    </xf>
    <xf numFmtId="0" fontId="23" fillId="6" borderId="69" xfId="0" applyFont="1" applyFill="1" applyBorder="1"/>
    <xf numFmtId="0" fontId="15" fillId="6" borderId="66" xfId="0" applyFont="1" applyFill="1" applyBorder="1" applyAlignment="1">
      <alignment horizontal="right"/>
    </xf>
    <xf numFmtId="0" fontId="23" fillId="6" borderId="47" xfId="0" applyFont="1" applyFill="1" applyBorder="1"/>
    <xf numFmtId="0" fontId="15" fillId="6" borderId="59" xfId="0" applyFont="1" applyFill="1" applyBorder="1" applyAlignment="1">
      <alignment horizontal="right"/>
    </xf>
    <xf numFmtId="0" fontId="23" fillId="6" borderId="14" xfId="0" applyFont="1" applyFill="1" applyBorder="1"/>
    <xf numFmtId="0" fontId="15" fillId="6" borderId="23" xfId="0" applyFont="1" applyFill="1" applyBorder="1" applyAlignment="1">
      <alignment horizontal="right"/>
    </xf>
    <xf numFmtId="0" fontId="0" fillId="0" borderId="68" xfId="0" applyBorder="1" applyAlignment="1">
      <alignment horizontal="left"/>
    </xf>
    <xf numFmtId="0" fontId="0" fillId="0" borderId="70" xfId="0" applyBorder="1" applyAlignment="1">
      <alignment horizontal="left"/>
    </xf>
    <xf numFmtId="0" fontId="0" fillId="0" borderId="50" xfId="0" applyBorder="1" applyAlignment="1">
      <alignment horizontal="left"/>
    </xf>
    <xf numFmtId="14" fontId="0" fillId="0" borderId="50" xfId="0" applyNumberFormat="1" applyBorder="1" applyAlignment="1">
      <alignment horizontal="left"/>
    </xf>
    <xf numFmtId="0" fontId="0" fillId="0" borderId="8" xfId="0" applyBorder="1"/>
    <xf numFmtId="9" fontId="59" fillId="0" borderId="0" xfId="2" applyFont="1" applyBorder="1" applyAlignment="1" applyProtection="1">
      <alignment horizontal="left"/>
      <protection hidden="1"/>
    </xf>
    <xf numFmtId="10" fontId="0" fillId="0" borderId="50" xfId="0" applyNumberFormat="1" applyBorder="1"/>
    <xf numFmtId="0" fontId="30" fillId="0" borderId="21" xfId="0" applyFont="1" applyFill="1" applyBorder="1" applyAlignment="1" applyProtection="1">
      <alignment horizontal="center" vertical="center" wrapText="1"/>
      <protection hidden="1"/>
    </xf>
    <xf numFmtId="168" fontId="0" fillId="0" borderId="50" xfId="0" applyNumberFormat="1" applyBorder="1"/>
    <xf numFmtId="172" fontId="0" fillId="0" borderId="0" xfId="0" applyNumberFormat="1"/>
    <xf numFmtId="0" fontId="0" fillId="0" borderId="14" xfId="0" applyBorder="1"/>
    <xf numFmtId="0" fontId="0" fillId="0" borderId="23" xfId="0" applyBorder="1"/>
    <xf numFmtId="0" fontId="23" fillId="0" borderId="23" xfId="0" applyFont="1" applyBorder="1"/>
    <xf numFmtId="0" fontId="23" fillId="0" borderId="23" xfId="0" applyFont="1" applyBorder="1" applyAlignment="1">
      <alignment horizontal="left"/>
    </xf>
    <xf numFmtId="0" fontId="15" fillId="0" borderId="23" xfId="0" applyFont="1" applyBorder="1" applyAlignment="1">
      <alignment horizontal="right"/>
    </xf>
    <xf numFmtId="0" fontId="0" fillId="0" borderId="24" xfId="0" applyBorder="1"/>
    <xf numFmtId="168" fontId="55" fillId="0" borderId="0" xfId="4" applyNumberFormat="1" applyFont="1" applyAlignment="1">
      <alignment horizontal="left" wrapText="1"/>
    </xf>
    <xf numFmtId="168" fontId="0" fillId="0" borderId="0" xfId="4" applyNumberFormat="1" applyFont="1"/>
    <xf numFmtId="1" fontId="23" fillId="0" borderId="19" xfId="0" applyNumberFormat="1" applyFont="1" applyBorder="1" applyAlignment="1">
      <alignment wrapText="1"/>
    </xf>
    <xf numFmtId="168" fontId="23" fillId="0" borderId="23" xfId="4" applyNumberFormat="1" applyFont="1" applyBorder="1" applyAlignment="1">
      <alignment horizontal="left"/>
    </xf>
    <xf numFmtId="173" fontId="0" fillId="0" borderId="0" xfId="0" applyNumberFormat="1"/>
    <xf numFmtId="172" fontId="0" fillId="0" borderId="19" xfId="0" applyNumberFormat="1" applyBorder="1"/>
    <xf numFmtId="172" fontId="0" fillId="0" borderId="0" xfId="0" applyNumberFormat="1" applyBorder="1"/>
    <xf numFmtId="172" fontId="0" fillId="0" borderId="23" xfId="0" applyNumberFormat="1" applyBorder="1"/>
    <xf numFmtId="172" fontId="23" fillId="0" borderId="0" xfId="5" applyNumberFormat="1" applyFont="1" applyFill="1" applyAlignment="1">
      <alignment horizontal="left" wrapText="1"/>
    </xf>
    <xf numFmtId="172" fontId="15" fillId="0" borderId="0" xfId="5" applyNumberFormat="1" applyFont="1" applyFill="1">
      <alignment vertical="top"/>
    </xf>
    <xf numFmtId="0" fontId="15" fillId="0" borderId="0" xfId="0" applyFont="1" applyFill="1" applyBorder="1"/>
    <xf numFmtId="0" fontId="23" fillId="0" borderId="0" xfId="0" applyFont="1" applyFill="1"/>
    <xf numFmtId="0" fontId="23" fillId="0" borderId="0" xfId="0" applyFont="1" applyFill="1" applyAlignment="1">
      <alignment horizontal="left"/>
    </xf>
    <xf numFmtId="1" fontId="0" fillId="0" borderId="0" xfId="0" applyNumberFormat="1" applyAlignment="1">
      <alignment horizontal="right"/>
    </xf>
    <xf numFmtId="0" fontId="15" fillId="0" borderId="0" xfId="0" applyFont="1" applyFill="1"/>
    <xf numFmtId="0" fontId="30" fillId="13" borderId="22" xfId="3" applyFont="1" applyFill="1" applyBorder="1" applyAlignment="1" applyProtection="1">
      <alignment horizontal="center" vertical="center" wrapText="1"/>
      <protection hidden="1"/>
    </xf>
    <xf numFmtId="0" fontId="30" fillId="5" borderId="22" xfId="3" applyFont="1" applyFill="1" applyBorder="1" applyAlignment="1" applyProtection="1">
      <alignment horizontal="center" vertical="center" wrapText="1"/>
      <protection hidden="1"/>
    </xf>
    <xf numFmtId="0" fontId="30" fillId="10" borderId="22" xfId="3" applyFont="1" applyFill="1" applyBorder="1" applyAlignment="1" applyProtection="1">
      <alignment horizontal="center" vertical="center" wrapText="1"/>
      <protection hidden="1"/>
    </xf>
    <xf numFmtId="0" fontId="15" fillId="0" borderId="13" xfId="5" applyFont="1" applyFill="1" applyBorder="1">
      <alignment vertical="top"/>
    </xf>
    <xf numFmtId="0" fontId="61" fillId="0" borderId="0" xfId="0" applyFont="1" applyFill="1" applyBorder="1" applyAlignment="1" applyProtection="1">
      <alignment horizontal="center" wrapText="1"/>
      <protection hidden="1"/>
    </xf>
    <xf numFmtId="9" fontId="23" fillId="0" borderId="0" xfId="2" applyFont="1" applyFill="1" applyBorder="1" applyAlignment="1" applyProtection="1">
      <alignment horizontal="left" wrapText="1"/>
      <protection hidden="1"/>
    </xf>
    <xf numFmtId="0" fontId="15" fillId="0" borderId="0" xfId="0" applyFont="1" applyFill="1" applyBorder="1" applyAlignment="1" applyProtection="1">
      <alignment horizontal="left" vertical="center" wrapText="1"/>
      <protection hidden="1"/>
    </xf>
    <xf numFmtId="0" fontId="23" fillId="0" borderId="0" xfId="0" applyFont="1" applyFill="1" applyBorder="1" applyAlignment="1" applyProtection="1">
      <alignment horizontal="left" vertical="center"/>
      <protection hidden="1"/>
    </xf>
    <xf numFmtId="0" fontId="23" fillId="0" borderId="0" xfId="0" applyFont="1" applyFill="1" applyBorder="1"/>
    <xf numFmtId="0" fontId="23" fillId="0" borderId="39" xfId="0" applyFont="1" applyFill="1" applyBorder="1" applyAlignment="1" applyProtection="1">
      <alignment horizontal="right" vertical="center"/>
      <protection hidden="1"/>
    </xf>
    <xf numFmtId="0" fontId="23" fillId="0" borderId="36" xfId="0" applyFont="1" applyFill="1" applyBorder="1" applyAlignment="1" applyProtection="1">
      <alignment horizontal="left" vertical="center"/>
      <protection hidden="1"/>
    </xf>
    <xf numFmtId="0" fontId="23" fillId="0" borderId="36" xfId="0" applyFont="1" applyFill="1" applyBorder="1" applyAlignment="1" applyProtection="1">
      <alignment horizontal="right" vertical="center"/>
      <protection hidden="1"/>
    </xf>
    <xf numFmtId="0" fontId="23" fillId="0" borderId="37" xfId="0" applyFont="1" applyFill="1" applyBorder="1" applyAlignment="1" applyProtection="1">
      <alignment horizontal="left" vertical="center"/>
      <protection hidden="1"/>
    </xf>
    <xf numFmtId="0" fontId="0" fillId="0" borderId="24" xfId="0" applyBorder="1" applyAlignment="1" applyProtection="1">
      <alignment horizontal="center"/>
      <protection hidden="1"/>
    </xf>
    <xf numFmtId="0" fontId="27" fillId="0" borderId="0" xfId="0" applyFont="1" applyFill="1" applyBorder="1" applyAlignment="1" applyProtection="1">
      <alignment horizontal="center" wrapText="1"/>
      <protection hidden="1"/>
    </xf>
    <xf numFmtId="0" fontId="0" fillId="0" borderId="0" xfId="0" applyBorder="1" applyAlignment="1">
      <alignment wrapText="1"/>
    </xf>
    <xf numFmtId="0" fontId="23" fillId="0" borderId="0" xfId="0" applyFont="1" applyFill="1" applyBorder="1" applyAlignment="1" applyProtection="1">
      <alignment horizontal="right"/>
      <protection hidden="1"/>
    </xf>
    <xf numFmtId="0" fontId="27" fillId="0" borderId="0" xfId="0" applyFont="1" applyFill="1" applyBorder="1" applyAlignment="1" applyProtection="1">
      <alignment horizontal="center"/>
      <protection hidden="1"/>
    </xf>
    <xf numFmtId="0" fontId="36" fillId="0" borderId="0" xfId="0" applyFont="1" applyFill="1" applyBorder="1" applyAlignment="1" applyProtection="1">
      <alignment horizontal="center" wrapText="1"/>
      <protection hidden="1"/>
    </xf>
    <xf numFmtId="2" fontId="9" fillId="22" borderId="15" xfId="1" applyNumberFormat="1" applyFont="1" applyFill="1" applyBorder="1" applyAlignment="1">
      <alignment horizontal="center" wrapText="1"/>
    </xf>
    <xf numFmtId="2" fontId="9" fillId="22" borderId="39" xfId="1" applyNumberFormat="1" applyFont="1" applyFill="1" applyBorder="1" applyAlignment="1">
      <alignment horizontal="center" wrapText="1"/>
    </xf>
    <xf numFmtId="2" fontId="15" fillId="0" borderId="29" xfId="0" applyNumberFormat="1" applyFont="1" applyBorder="1" applyAlignment="1" applyProtection="1">
      <alignment horizontal="center"/>
      <protection hidden="1"/>
    </xf>
    <xf numFmtId="2" fontId="15" fillId="0" borderId="31" xfId="0" applyNumberFormat="1" applyFont="1" applyBorder="1" applyAlignment="1" applyProtection="1">
      <alignment horizontal="center"/>
      <protection hidden="1"/>
    </xf>
    <xf numFmtId="2" fontId="15" fillId="0" borderId="0" xfId="0" applyNumberFormat="1" applyFont="1" applyBorder="1" applyAlignment="1" applyProtection="1">
      <alignment horizontal="center"/>
      <protection hidden="1"/>
    </xf>
    <xf numFmtId="0" fontId="15" fillId="0" borderId="0" xfId="0" applyFont="1" applyBorder="1" applyAlignment="1">
      <alignment wrapText="1"/>
    </xf>
    <xf numFmtId="0" fontId="15" fillId="0" borderId="27" xfId="5" applyFont="1" applyFill="1" applyBorder="1">
      <alignment vertical="top"/>
    </xf>
    <xf numFmtId="0" fontId="15" fillId="0" borderId="33" xfId="5" applyFont="1" applyFill="1" applyBorder="1">
      <alignment vertical="top"/>
    </xf>
    <xf numFmtId="169" fontId="15" fillId="0" borderId="29" xfId="5" applyNumberFormat="1" applyFont="1" applyFill="1" applyBorder="1">
      <alignment vertical="top"/>
    </xf>
    <xf numFmtId="169" fontId="15" fillId="0" borderId="0" xfId="5" applyNumberFormat="1" applyFont="1" applyFill="1" applyBorder="1">
      <alignment vertical="top"/>
    </xf>
    <xf numFmtId="169" fontId="15" fillId="0" borderId="30" xfId="5" applyNumberFormat="1" applyFont="1" applyFill="1" applyBorder="1">
      <alignment vertical="top"/>
    </xf>
    <xf numFmtId="2" fontId="15" fillId="0" borderId="0" xfId="5" applyNumberFormat="1" applyFont="1" applyFill="1" applyBorder="1">
      <alignment vertical="top"/>
    </xf>
    <xf numFmtId="2" fontId="15" fillId="0" borderId="29" xfId="5" applyNumberFormat="1" applyFont="1" applyFill="1" applyBorder="1">
      <alignment vertical="top"/>
    </xf>
    <xf numFmtId="2" fontId="15" fillId="0" borderId="30" xfId="5" applyNumberFormat="1" applyFont="1" applyFill="1" applyBorder="1">
      <alignment vertical="top"/>
    </xf>
    <xf numFmtId="175" fontId="23" fillId="0" borderId="29" xfId="5" applyNumberFormat="1" applyFont="1" applyFill="1" applyBorder="1" applyAlignment="1">
      <alignment vertical="top" wrapText="1"/>
    </xf>
    <xf numFmtId="2" fontId="23" fillId="0" borderId="0" xfId="5" applyNumberFormat="1" applyFont="1" applyFill="1" applyBorder="1" applyAlignment="1">
      <alignment vertical="top" wrapText="1"/>
    </xf>
    <xf numFmtId="2" fontId="23" fillId="0" borderId="30" xfId="5" applyNumberFormat="1" applyFont="1" applyFill="1" applyBorder="1" applyAlignment="1">
      <alignment vertical="top" wrapText="1"/>
    </xf>
    <xf numFmtId="175" fontId="15" fillId="0" borderId="29" xfId="5" applyNumberFormat="1" applyFont="1" applyFill="1" applyBorder="1">
      <alignment vertical="top"/>
    </xf>
    <xf numFmtId="37" fontId="54" fillId="0" borderId="30" xfId="6" applyFont="1" applyFill="1" applyBorder="1" applyAlignment="1">
      <alignment vertical="top"/>
    </xf>
    <xf numFmtId="10" fontId="54" fillId="0" borderId="31" xfId="2" applyNumberFormat="1" applyFont="1" applyFill="1" applyBorder="1" applyAlignment="1">
      <alignment vertical="top"/>
    </xf>
    <xf numFmtId="10" fontId="54" fillId="0" borderId="5" xfId="2" applyNumberFormat="1" applyFont="1" applyFill="1" applyBorder="1" applyAlignment="1">
      <alignment vertical="top"/>
    </xf>
    <xf numFmtId="37" fontId="54" fillId="0" borderId="32" xfId="6" applyFont="1" applyFill="1" applyBorder="1" applyAlignment="1">
      <alignment vertical="top"/>
    </xf>
    <xf numFmtId="0" fontId="60" fillId="0" borderId="0" xfId="0" applyFont="1" applyFill="1" applyBorder="1" applyAlignment="1" applyProtection="1">
      <alignment horizontal="left" vertical="center" wrapText="1"/>
      <protection hidden="1"/>
    </xf>
    <xf numFmtId="2" fontId="63" fillId="0" borderId="0" xfId="0" applyNumberFormat="1" applyFont="1" applyFill="1" applyBorder="1"/>
    <xf numFmtId="2" fontId="9" fillId="0" borderId="0" xfId="1" applyNumberFormat="1" applyFont="1" applyFill="1" applyBorder="1" applyAlignment="1">
      <alignment horizontal="center" wrapText="1"/>
    </xf>
    <xf numFmtId="0" fontId="15" fillId="0" borderId="0" xfId="0" applyFont="1" applyFill="1" applyBorder="1" applyAlignment="1" applyProtection="1">
      <alignment horizontal="center"/>
      <protection hidden="1"/>
    </xf>
    <xf numFmtId="0" fontId="15" fillId="0" borderId="29" xfId="0" applyFont="1" applyFill="1" applyBorder="1" applyAlignment="1" applyProtection="1">
      <alignment horizontal="center"/>
      <protection hidden="1"/>
    </xf>
    <xf numFmtId="0" fontId="15" fillId="0" borderId="30" xfId="0" applyFont="1" applyFill="1" applyBorder="1" applyAlignment="1" applyProtection="1">
      <alignment horizontal="center"/>
      <protection hidden="1"/>
    </xf>
    <xf numFmtId="0" fontId="64" fillId="0" borderId="0" xfId="0" applyFont="1" applyFill="1" applyBorder="1" applyAlignment="1">
      <alignment horizontal="center"/>
    </xf>
    <xf numFmtId="0" fontId="0" fillId="0" borderId="13" xfId="0" applyFill="1" applyBorder="1"/>
    <xf numFmtId="0" fontId="0" fillId="0" borderId="23" xfId="0" applyFill="1" applyBorder="1"/>
    <xf numFmtId="168" fontId="9" fillId="22" borderId="15" xfId="4" applyNumberFormat="1" applyFont="1" applyFill="1" applyBorder="1" applyAlignment="1">
      <alignment horizontal="center" wrapText="1"/>
    </xf>
    <xf numFmtId="9" fontId="9" fillId="22" borderId="15" xfId="2" applyFont="1" applyFill="1" applyBorder="1" applyAlignment="1">
      <alignment horizontal="center" wrapText="1"/>
    </xf>
    <xf numFmtId="9" fontId="3" fillId="0" borderId="15" xfId="2" applyFont="1" applyFill="1" applyBorder="1" applyAlignment="1">
      <alignment horizontal="center" wrapText="1"/>
    </xf>
    <xf numFmtId="0" fontId="0" fillId="0" borderId="13" xfId="0" applyBorder="1" applyAlignment="1">
      <alignment horizontal="right"/>
    </xf>
    <xf numFmtId="172" fontId="0" fillId="0" borderId="0" xfId="0" applyNumberFormat="1" applyFill="1" applyBorder="1"/>
    <xf numFmtId="0" fontId="0" fillId="0" borderId="77" xfId="0" applyBorder="1"/>
    <xf numFmtId="1" fontId="0" fillId="0" borderId="77" xfId="0" applyNumberFormat="1" applyBorder="1"/>
    <xf numFmtId="1" fontId="0" fillId="0" borderId="0" xfId="0" applyNumberFormat="1" applyFill="1" applyBorder="1"/>
    <xf numFmtId="172" fontId="0" fillId="0" borderId="0" xfId="0" applyNumberFormat="1" applyFill="1" applyBorder="1" applyAlignment="1">
      <alignment horizontal="center"/>
    </xf>
    <xf numFmtId="9" fontId="0" fillId="0" borderId="0" xfId="2" applyFont="1"/>
    <xf numFmtId="0" fontId="15" fillId="6" borderId="73" xfId="0" applyFont="1" applyFill="1" applyBorder="1" applyAlignment="1">
      <alignment horizontal="center"/>
    </xf>
    <xf numFmtId="0" fontId="0" fillId="6" borderId="74" xfId="0" applyFill="1" applyBorder="1" applyAlignment="1">
      <alignment horizontal="center"/>
    </xf>
    <xf numFmtId="1" fontId="15" fillId="22" borderId="52" xfId="0" applyNumberFormat="1" applyFont="1" applyFill="1" applyBorder="1"/>
    <xf numFmtId="0" fontId="0" fillId="0" borderId="13" xfId="0" applyBorder="1" applyAlignment="1">
      <alignment horizontal="left" vertical="center" wrapText="1"/>
    </xf>
    <xf numFmtId="0" fontId="63" fillId="0" borderId="0" xfId="5" applyFont="1" applyFill="1" applyBorder="1">
      <alignment vertical="top"/>
    </xf>
    <xf numFmtId="0" fontId="69" fillId="0" borderId="0" xfId="5" applyFont="1" applyFill="1" applyAlignment="1">
      <alignment horizontal="left"/>
    </xf>
    <xf numFmtId="0" fontId="15" fillId="0" borderId="33" xfId="5" applyFont="1" applyFill="1" applyBorder="1" applyAlignment="1"/>
    <xf numFmtId="1" fontId="52" fillId="0" borderId="0" xfId="5" applyNumberFormat="1" applyFont="1" applyFill="1" applyBorder="1">
      <alignment vertical="top"/>
    </xf>
    <xf numFmtId="1" fontId="53" fillId="0" borderId="0" xfId="6" applyNumberFormat="1" applyFont="1" applyFill="1" applyBorder="1" applyAlignment="1">
      <alignment vertical="top"/>
    </xf>
    <xf numFmtId="1" fontId="52" fillId="0" borderId="8" xfId="5" applyNumberFormat="1" applyFont="1" applyFill="1" applyBorder="1">
      <alignment vertical="top"/>
    </xf>
    <xf numFmtId="1" fontId="52" fillId="0" borderId="13" xfId="5" applyNumberFormat="1" applyFont="1" applyFill="1" applyBorder="1">
      <alignment vertical="top"/>
    </xf>
    <xf numFmtId="1" fontId="52" fillId="0" borderId="14" xfId="5" applyNumberFormat="1" applyFont="1" applyFill="1" applyBorder="1">
      <alignment vertical="top"/>
    </xf>
    <xf numFmtId="0" fontId="27" fillId="0" borderId="28" xfId="5" applyFont="1" applyFill="1" applyBorder="1" applyAlignment="1">
      <alignment horizontal="center" wrapText="1"/>
    </xf>
    <xf numFmtId="0" fontId="27" fillId="0" borderId="30" xfId="5" applyFont="1" applyFill="1" applyBorder="1" applyAlignment="1">
      <alignment horizontal="center" wrapText="1"/>
    </xf>
    <xf numFmtId="0" fontId="27" fillId="0" borderId="33" xfId="5" applyFont="1" applyFill="1" applyBorder="1" applyAlignment="1">
      <alignment horizontal="center" wrapText="1"/>
    </xf>
    <xf numFmtId="0" fontId="27" fillId="0" borderId="0" xfId="5" applyFont="1" applyFill="1" applyBorder="1" applyAlignment="1">
      <alignment horizontal="center" wrapText="1"/>
    </xf>
    <xf numFmtId="0" fontId="15" fillId="0" borderId="0" xfId="0" applyFont="1" applyFill="1" applyBorder="1" applyAlignment="1" applyProtection="1">
      <alignment horizontal="left" vertical="center" wrapText="1"/>
      <protection hidden="1"/>
    </xf>
    <xf numFmtId="0" fontId="15" fillId="0" borderId="0" xfId="5" applyFont="1" applyFill="1" applyBorder="1" applyAlignment="1">
      <alignment horizontal="left" vertical="top" wrapText="1"/>
    </xf>
    <xf numFmtId="168" fontId="63" fillId="0" borderId="0" xfId="4" applyNumberFormat="1" applyFont="1" applyFill="1" applyBorder="1" applyAlignment="1">
      <alignment vertical="top"/>
    </xf>
    <xf numFmtId="168" fontId="63" fillId="0" borderId="23" xfId="4" applyNumberFormat="1" applyFont="1" applyFill="1" applyBorder="1" applyAlignment="1">
      <alignment vertical="top"/>
    </xf>
    <xf numFmtId="1" fontId="23" fillId="0" borderId="0" xfId="5" applyNumberFormat="1" applyFont="1" applyFill="1" applyBorder="1" applyAlignment="1">
      <alignment horizontal="left"/>
    </xf>
    <xf numFmtId="0" fontId="23" fillId="0" borderId="0" xfId="5" applyFont="1" applyFill="1" applyBorder="1" applyAlignment="1">
      <alignment horizontal="left"/>
    </xf>
    <xf numFmtId="169" fontId="15" fillId="0" borderId="0" xfId="5" applyNumberFormat="1" applyFont="1" applyFill="1" applyBorder="1" applyAlignment="1"/>
    <xf numFmtId="169" fontId="15" fillId="0" borderId="30" xfId="5" applyNumberFormat="1" applyFont="1" applyFill="1" applyBorder="1" applyAlignment="1"/>
    <xf numFmtId="0" fontId="63" fillId="0" borderId="0" xfId="5" applyFont="1" applyFill="1" applyBorder="1" applyAlignment="1"/>
    <xf numFmtId="0" fontId="15" fillId="0" borderId="0" xfId="5" applyFont="1" applyFill="1" applyBorder="1" applyAlignment="1"/>
    <xf numFmtId="168" fontId="63" fillId="0" borderId="19" xfId="4" applyNumberFormat="1" applyFont="1" applyFill="1" applyBorder="1" applyAlignment="1">
      <alignment vertical="top"/>
    </xf>
    <xf numFmtId="0" fontId="58" fillId="0" borderId="25" xfId="5" applyFont="1" applyFill="1" applyBorder="1" applyAlignment="1">
      <alignment horizontal="center" wrapText="1"/>
    </xf>
    <xf numFmtId="168" fontId="52" fillId="0" borderId="25" xfId="4" applyNumberFormat="1" applyFont="1" applyFill="1" applyBorder="1" applyAlignment="1">
      <alignment vertical="top"/>
    </xf>
    <xf numFmtId="168" fontId="63" fillId="0" borderId="72" xfId="4" applyNumberFormat="1" applyFont="1" applyFill="1" applyBorder="1" applyAlignment="1">
      <alignment vertical="top"/>
    </xf>
    <xf numFmtId="168" fontId="63" fillId="0" borderId="26" xfId="4" applyNumberFormat="1" applyFont="1" applyFill="1" applyBorder="1" applyAlignment="1">
      <alignment vertical="top"/>
    </xf>
    <xf numFmtId="1" fontId="52" fillId="0" borderId="8" xfId="5" applyNumberFormat="1" applyFont="1" applyFill="1" applyBorder="1" applyAlignment="1">
      <alignment horizontal="right" vertical="top"/>
    </xf>
    <xf numFmtId="1" fontId="63" fillId="0" borderId="0" xfId="5" applyNumberFormat="1" applyFont="1" applyFill="1" applyBorder="1" applyAlignment="1">
      <alignment horizontal="right" vertical="top"/>
    </xf>
    <xf numFmtId="1" fontId="63" fillId="0" borderId="23" xfId="5" applyNumberFormat="1" applyFont="1" applyFill="1" applyBorder="1" applyAlignment="1">
      <alignment horizontal="right" vertical="top"/>
    </xf>
    <xf numFmtId="10" fontId="54" fillId="0" borderId="0" xfId="2" applyNumberFormat="1" applyFont="1" applyFill="1" applyBorder="1" applyAlignment="1">
      <alignment vertical="top"/>
    </xf>
    <xf numFmtId="37" fontId="54" fillId="0" borderId="0" xfId="6" applyFont="1" applyFill="1" applyBorder="1" applyAlignment="1">
      <alignment vertical="top"/>
    </xf>
    <xf numFmtId="0" fontId="15" fillId="24" borderId="0" xfId="5" applyFont="1" applyFill="1">
      <alignment vertical="top"/>
    </xf>
    <xf numFmtId="10" fontId="15" fillId="24" borderId="0" xfId="7" applyNumberFormat="1" applyFont="1" applyFill="1" applyAlignment="1">
      <alignment vertical="top"/>
    </xf>
    <xf numFmtId="1" fontId="15" fillId="24" borderId="0" xfId="5" applyNumberFormat="1" applyFont="1" applyFill="1">
      <alignment vertical="top"/>
    </xf>
    <xf numFmtId="37" fontId="15" fillId="24" borderId="0" xfId="5" applyNumberFormat="1" applyFont="1" applyFill="1">
      <alignment vertical="top"/>
    </xf>
    <xf numFmtId="37" fontId="54" fillId="24" borderId="0" xfId="6" applyFont="1" applyFill="1" applyAlignment="1">
      <alignment vertical="top"/>
    </xf>
    <xf numFmtId="10" fontId="54" fillId="24" borderId="0" xfId="2" applyNumberFormat="1" applyFont="1" applyFill="1" applyBorder="1" applyAlignment="1">
      <alignment vertical="top"/>
    </xf>
    <xf numFmtId="37" fontId="54" fillId="24" borderId="0" xfId="6" applyFont="1" applyFill="1" applyBorder="1" applyAlignment="1">
      <alignment vertical="top"/>
    </xf>
    <xf numFmtId="174" fontId="15" fillId="23" borderId="0" xfId="4" applyNumberFormat="1" applyFont="1" applyFill="1" applyBorder="1"/>
    <xf numFmtId="0" fontId="15" fillId="23" borderId="0" xfId="5" applyFont="1" applyFill="1" applyBorder="1">
      <alignment vertical="top"/>
    </xf>
    <xf numFmtId="0" fontId="0" fillId="23" borderId="0" xfId="0" applyFill="1" applyBorder="1" applyAlignment="1">
      <alignment wrapText="1"/>
    </xf>
    <xf numFmtId="0" fontId="15" fillId="23" borderId="0" xfId="0" applyFont="1" applyFill="1" applyBorder="1" applyAlignment="1">
      <alignment wrapText="1"/>
    </xf>
    <xf numFmtId="2" fontId="10" fillId="0" borderId="0" xfId="1" applyNumberFormat="1" applyFill="1" applyAlignment="1">
      <alignment vertical="top" wrapText="1"/>
    </xf>
    <xf numFmtId="0" fontId="0" fillId="0" borderId="0" xfId="0" applyFill="1" applyBorder="1" applyAlignment="1" applyProtection="1">
      <alignment horizontal="center"/>
      <protection hidden="1"/>
    </xf>
    <xf numFmtId="0" fontId="15" fillId="0" borderId="0" xfId="5" applyFont="1" applyFill="1" applyAlignment="1">
      <alignment horizontal="left" vertical="top" wrapText="1"/>
    </xf>
    <xf numFmtId="0" fontId="15" fillId="0" borderId="33" xfId="5" applyFont="1" applyFill="1" applyBorder="1" applyAlignment="1">
      <alignment horizontal="right" vertical="top"/>
    </xf>
    <xf numFmtId="1" fontId="15" fillId="0" borderId="28" xfId="5" applyNumberFormat="1" applyFont="1" applyFill="1" applyBorder="1">
      <alignment vertical="top"/>
    </xf>
    <xf numFmtId="0" fontId="15" fillId="0" borderId="31" xfId="5" applyFont="1" applyFill="1" applyBorder="1">
      <alignment vertical="top"/>
    </xf>
    <xf numFmtId="0" fontId="15" fillId="0" borderId="5" xfId="5" applyFont="1" applyFill="1" applyBorder="1">
      <alignment vertical="top"/>
    </xf>
    <xf numFmtId="169" fontId="15" fillId="0" borderId="5" xfId="5" applyNumberFormat="1" applyFont="1" applyFill="1" applyBorder="1">
      <alignment vertical="top"/>
    </xf>
    <xf numFmtId="2" fontId="15" fillId="0" borderId="32" xfId="5" applyNumberFormat="1" applyFont="1" applyFill="1" applyBorder="1">
      <alignment vertical="top"/>
    </xf>
    <xf numFmtId="0" fontId="30" fillId="0" borderId="31" xfId="0" applyFont="1" applyFill="1" applyBorder="1" applyAlignment="1" applyProtection="1">
      <alignment horizontal="center" vertical="center" wrapText="1"/>
      <protection hidden="1"/>
    </xf>
    <xf numFmtId="168" fontId="15" fillId="0" borderId="28" xfId="4" applyNumberFormat="1" applyFont="1" applyFill="1" applyBorder="1" applyAlignment="1">
      <alignment vertical="top"/>
    </xf>
    <xf numFmtId="168" fontId="63" fillId="0" borderId="20" xfId="4" applyNumberFormat="1" applyFont="1" applyFill="1" applyBorder="1" applyAlignment="1">
      <alignment vertical="top"/>
    </xf>
    <xf numFmtId="168" fontId="63" fillId="0" borderId="21" xfId="4" applyNumberFormat="1" applyFont="1" applyFill="1" applyBorder="1" applyAlignment="1">
      <alignment vertical="top"/>
    </xf>
    <xf numFmtId="168" fontId="63" fillId="0" borderId="24" xfId="4" applyNumberFormat="1" applyFont="1" applyFill="1" applyBorder="1" applyAlignment="1">
      <alignment vertical="top"/>
    </xf>
    <xf numFmtId="1" fontId="15" fillId="0" borderId="33" xfId="5" applyNumberFormat="1" applyFont="1" applyFill="1" applyBorder="1">
      <alignment vertical="top"/>
    </xf>
    <xf numFmtId="2" fontId="15" fillId="0" borderId="5" xfId="5" applyNumberFormat="1" applyFont="1" applyFill="1" applyBorder="1">
      <alignment vertical="top"/>
    </xf>
    <xf numFmtId="0" fontId="15" fillId="0" borderId="0" xfId="0" applyFont="1" applyAlignment="1">
      <alignment horizontal="center" wrapText="1"/>
    </xf>
    <xf numFmtId="1" fontId="15" fillId="0" borderId="0" xfId="0" applyNumberFormat="1" applyFont="1" applyAlignment="1">
      <alignment horizontal="center" wrapText="1"/>
    </xf>
    <xf numFmtId="0" fontId="15" fillId="0" borderId="0" xfId="0" applyFont="1" applyAlignment="1">
      <alignment horizontal="center" wrapText="1"/>
    </xf>
    <xf numFmtId="0" fontId="15" fillId="0" borderId="0" xfId="0" applyFont="1" applyAlignment="1">
      <alignment horizontal="center"/>
    </xf>
    <xf numFmtId="0" fontId="0" fillId="0" borderId="0" xfId="0" applyAlignment="1">
      <alignment wrapText="1"/>
    </xf>
    <xf numFmtId="0" fontId="15" fillId="0" borderId="0" xfId="0" applyFont="1" applyAlignment="1">
      <alignment wrapText="1"/>
    </xf>
    <xf numFmtId="0" fontId="71" fillId="0" borderId="0" xfId="0" applyFont="1" applyAlignment="1">
      <alignment wrapText="1"/>
    </xf>
    <xf numFmtId="1" fontId="71" fillId="0" borderId="0" xfId="0" applyNumberFormat="1" applyFont="1" applyAlignment="1">
      <alignment horizontal="center" wrapText="1"/>
    </xf>
    <xf numFmtId="0" fontId="71" fillId="0" borderId="0" xfId="0" applyFont="1" applyAlignment="1">
      <alignment horizontal="center" wrapText="1"/>
    </xf>
    <xf numFmtId="0" fontId="0" fillId="0" borderId="5" xfId="0" applyBorder="1"/>
    <xf numFmtId="14" fontId="0" fillId="0" borderId="5" xfId="0" applyNumberFormat="1" applyBorder="1"/>
    <xf numFmtId="1" fontId="0" fillId="0" borderId="5" xfId="0" applyNumberFormat="1" applyBorder="1"/>
    <xf numFmtId="0" fontId="15" fillId="0" borderId="0" xfId="0" applyFont="1" applyAlignment="1">
      <alignment horizontal="center" wrapText="1"/>
    </xf>
    <xf numFmtId="0" fontId="15" fillId="0" borderId="0" xfId="0" applyFont="1" applyAlignment="1">
      <alignment horizontal="center"/>
    </xf>
    <xf numFmtId="0" fontId="0" fillId="0" borderId="0" xfId="0" applyFill="1" applyAlignment="1">
      <alignment horizontal="center" wrapText="1"/>
    </xf>
    <xf numFmtId="1" fontId="0" fillId="0" borderId="0" xfId="0" applyNumberFormat="1" applyBorder="1"/>
    <xf numFmtId="1" fontId="0" fillId="0" borderId="78" xfId="0" applyNumberFormat="1" applyBorder="1"/>
    <xf numFmtId="0" fontId="0" fillId="0" borderId="78" xfId="0" applyBorder="1"/>
    <xf numFmtId="0" fontId="63" fillId="0" borderId="0" xfId="0" applyFont="1" applyAlignment="1">
      <alignment horizontal="center" wrapText="1"/>
    </xf>
    <xf numFmtId="0" fontId="55" fillId="0" borderId="0" xfId="0" applyFont="1"/>
    <xf numFmtId="0" fontId="75" fillId="0" borderId="0" xfId="0" applyFont="1" applyAlignment="1">
      <alignment horizontal="center" wrapText="1"/>
    </xf>
    <xf numFmtId="1" fontId="15" fillId="0" borderId="22" xfId="0" applyNumberFormat="1" applyFont="1" applyBorder="1" applyAlignment="1">
      <alignment horizontal="center" wrapText="1"/>
    </xf>
    <xf numFmtId="0" fontId="15" fillId="0" borderId="22" xfId="0" applyFont="1" applyBorder="1" applyAlignment="1">
      <alignment horizontal="center" wrapText="1"/>
    </xf>
    <xf numFmtId="0" fontId="15" fillId="0" borderId="0" xfId="0" applyFont="1" applyFill="1" applyAlignment="1">
      <alignment horizontal="left"/>
    </xf>
    <xf numFmtId="1" fontId="15" fillId="0" borderId="0" xfId="0" applyNumberFormat="1" applyFont="1" applyAlignment="1">
      <alignment horizontal="center" vertical="center" wrapText="1"/>
    </xf>
    <xf numFmtId="10" fontId="0" fillId="0" borderId="21" xfId="2" applyNumberFormat="1" applyFont="1" applyBorder="1"/>
    <xf numFmtId="10" fontId="0" fillId="0" borderId="0" xfId="0" applyNumberFormat="1"/>
    <xf numFmtId="0" fontId="76" fillId="0" borderId="0" xfId="0" applyFont="1" applyFill="1" applyAlignment="1">
      <alignment horizontal="center" wrapText="1"/>
    </xf>
    <xf numFmtId="0" fontId="71" fillId="0" borderId="0" xfId="0" applyFont="1" applyFill="1" applyAlignment="1">
      <alignment horizontal="center" wrapText="1"/>
    </xf>
    <xf numFmtId="1" fontId="71" fillId="0" borderId="0" xfId="0" applyNumberFormat="1" applyFont="1" applyFill="1" applyAlignment="1">
      <alignment horizontal="center" wrapText="1"/>
    </xf>
    <xf numFmtId="0" fontId="81" fillId="0" borderId="0" xfId="0" applyFont="1"/>
    <xf numFmtId="10" fontId="0" fillId="0" borderId="24" xfId="2" applyNumberFormat="1" applyFont="1" applyBorder="1"/>
    <xf numFmtId="0" fontId="15" fillId="0" borderId="0" xfId="0" applyFont="1" applyFill="1" applyAlignment="1">
      <alignment horizontal="center"/>
    </xf>
    <xf numFmtId="0" fontId="15" fillId="0" borderId="0" xfId="0" applyFont="1" applyFill="1" applyAlignment="1">
      <alignment horizontal="center" wrapText="1"/>
    </xf>
    <xf numFmtId="0" fontId="15" fillId="0" borderId="78" xfId="0" applyFont="1" applyFill="1" applyBorder="1"/>
    <xf numFmtId="0" fontId="15" fillId="0" borderId="80" xfId="0" applyFont="1" applyFill="1" applyBorder="1"/>
    <xf numFmtId="0" fontId="50" fillId="0" borderId="8" xfId="0" applyFont="1" applyBorder="1" applyAlignment="1">
      <alignment vertical="center" wrapText="1"/>
    </xf>
    <xf numFmtId="0" fontId="50" fillId="0" borderId="20" xfId="0" applyFont="1" applyBorder="1" applyAlignment="1">
      <alignment vertical="center" wrapText="1"/>
    </xf>
    <xf numFmtId="0" fontId="0" fillId="0" borderId="0" xfId="0" applyAlignment="1">
      <alignment horizontal="center" wrapText="1"/>
    </xf>
    <xf numFmtId="0" fontId="15" fillId="0" borderId="0" xfId="0" applyFont="1" applyAlignment="1">
      <alignment horizontal="center" wrapText="1"/>
    </xf>
    <xf numFmtId="0" fontId="15" fillId="0" borderId="0" xfId="0" applyFont="1" applyAlignment="1">
      <alignment horizontal="center"/>
    </xf>
    <xf numFmtId="0" fontId="15" fillId="0" borderId="0" xfId="0" applyFont="1" applyBorder="1" applyAlignment="1">
      <alignment horizontal="center" wrapText="1"/>
    </xf>
    <xf numFmtId="0" fontId="15" fillId="0" borderId="0" xfId="0" applyFont="1" applyAlignment="1">
      <alignment horizontal="center" wrapText="1"/>
    </xf>
    <xf numFmtId="0" fontId="29" fillId="0" borderId="0" xfId="1" applyFont="1" applyFill="1" applyAlignment="1">
      <alignment horizontal="left" vertical="top" wrapText="1"/>
    </xf>
    <xf numFmtId="0" fontId="15" fillId="0" borderId="61" xfId="0" applyFont="1" applyFill="1" applyBorder="1" applyAlignment="1" applyProtection="1">
      <alignment horizontal="left" vertical="center" wrapText="1"/>
      <protection hidden="1"/>
    </xf>
    <xf numFmtId="0" fontId="15" fillId="0" borderId="0" xfId="0" applyFont="1" applyFill="1" applyBorder="1" applyAlignment="1" applyProtection="1">
      <alignment horizontal="left" vertical="center" wrapText="1"/>
      <protection hidden="1"/>
    </xf>
    <xf numFmtId="0" fontId="15" fillId="0" borderId="62" xfId="0" applyFont="1" applyFill="1" applyBorder="1" applyAlignment="1" applyProtection="1">
      <alignment horizontal="left" vertical="center" wrapText="1"/>
      <protection hidden="1"/>
    </xf>
    <xf numFmtId="0" fontId="15" fillId="0" borderId="0" xfId="0" applyFont="1" applyBorder="1" applyAlignment="1" applyProtection="1">
      <alignment horizontal="left" vertical="top" wrapText="1"/>
      <protection hidden="1"/>
    </xf>
    <xf numFmtId="0" fontId="15" fillId="0" borderId="23" xfId="0" applyFont="1" applyBorder="1" applyAlignment="1" applyProtection="1">
      <alignment horizontal="left" vertical="top" wrapText="1"/>
      <protection hidden="1"/>
    </xf>
    <xf numFmtId="0" fontId="6" fillId="7" borderId="81" xfId="0" applyFont="1" applyFill="1" applyBorder="1"/>
    <xf numFmtId="2" fontId="6" fillId="7" borderId="81" xfId="0" applyNumberFormat="1" applyFont="1" applyFill="1" applyBorder="1"/>
    <xf numFmtId="0" fontId="8" fillId="3" borderId="20" xfId="0" applyFont="1" applyFill="1" applyBorder="1"/>
    <xf numFmtId="0" fontId="8" fillId="3" borderId="13" xfId="0" applyFont="1" applyFill="1" applyBorder="1"/>
    <xf numFmtId="0" fontId="8" fillId="3" borderId="21" xfId="0" applyFont="1" applyFill="1" applyBorder="1"/>
    <xf numFmtId="0" fontId="12" fillId="3" borderId="21" xfId="0" applyFont="1" applyFill="1" applyBorder="1" applyAlignment="1">
      <alignment textRotation="90"/>
    </xf>
    <xf numFmtId="0" fontId="46" fillId="3" borderId="13" xfId="0" applyFont="1" applyFill="1" applyBorder="1" applyAlignment="1">
      <alignment horizontal="center"/>
    </xf>
    <xf numFmtId="0" fontId="11" fillId="3" borderId="21" xfId="0" applyFont="1" applyFill="1" applyBorder="1"/>
    <xf numFmtId="0" fontId="47" fillId="3" borderId="13" xfId="0" applyFont="1" applyFill="1" applyBorder="1" applyAlignment="1">
      <alignment horizontal="center"/>
    </xf>
    <xf numFmtId="0" fontId="8" fillId="3" borderId="14" xfId="0" applyFont="1" applyFill="1" applyBorder="1"/>
    <xf numFmtId="0" fontId="6" fillId="8" borderId="82" xfId="0" applyFont="1" applyFill="1" applyBorder="1"/>
    <xf numFmtId="0" fontId="8" fillId="3" borderId="24" xfId="0" applyFont="1" applyFill="1" applyBorder="1"/>
    <xf numFmtId="0" fontId="8" fillId="3" borderId="29" xfId="0" applyFont="1" applyFill="1" applyBorder="1"/>
    <xf numFmtId="0" fontId="8" fillId="3" borderId="30" xfId="0" applyFont="1" applyFill="1" applyBorder="1"/>
    <xf numFmtId="0" fontId="19" fillId="21" borderId="5" xfId="0" applyFont="1" applyFill="1" applyBorder="1" applyAlignment="1">
      <alignment horizontal="left" vertical="center" wrapText="1"/>
    </xf>
    <xf numFmtId="0" fontId="19" fillId="21" borderId="32" xfId="0" applyFont="1" applyFill="1" applyBorder="1" applyAlignment="1">
      <alignment horizontal="left" vertical="center" wrapText="1"/>
    </xf>
    <xf numFmtId="0" fontId="20" fillId="22" borderId="23" xfId="0" applyFont="1" applyFill="1" applyBorder="1" applyAlignment="1">
      <alignment vertical="center"/>
    </xf>
    <xf numFmtId="0" fontId="20" fillId="22" borderId="23" xfId="0" applyFont="1" applyFill="1" applyBorder="1" applyAlignment="1">
      <alignment horizontal="right" vertical="center"/>
    </xf>
    <xf numFmtId="0" fontId="82" fillId="0" borderId="0" xfId="0" applyFont="1"/>
    <xf numFmtId="0" fontId="29" fillId="0" borderId="0" xfId="1" applyFont="1" applyFill="1" applyAlignment="1">
      <alignment horizontal="left" vertical="top" wrapText="1"/>
    </xf>
    <xf numFmtId="0" fontId="15" fillId="0" borderId="13" xfId="0" applyFont="1" applyFill="1" applyBorder="1" applyAlignment="1" applyProtection="1">
      <alignment horizontal="left" vertical="center" wrapText="1"/>
      <protection hidden="1"/>
    </xf>
    <xf numFmtId="0" fontId="15" fillId="0" borderId="0" xfId="0" applyFont="1" applyFill="1" applyBorder="1" applyAlignment="1" applyProtection="1">
      <alignment horizontal="left" vertical="center" wrapText="1"/>
      <protection hidden="1"/>
    </xf>
    <xf numFmtId="0" fontId="15" fillId="0" borderId="21" xfId="0" applyFont="1" applyFill="1" applyBorder="1" applyAlignment="1" applyProtection="1">
      <alignment horizontal="left" vertical="center" wrapText="1"/>
      <protection hidden="1"/>
    </xf>
    <xf numFmtId="0" fontId="15" fillId="0" borderId="0" xfId="0" applyFont="1" applyBorder="1" applyAlignment="1" applyProtection="1">
      <alignment horizontal="left" vertical="top" wrapText="1"/>
      <protection hidden="1"/>
    </xf>
    <xf numFmtId="0" fontId="15" fillId="0" borderId="0" xfId="0" applyFont="1" applyBorder="1" applyAlignment="1">
      <alignment horizontal="left" vertical="top" wrapText="1"/>
    </xf>
    <xf numFmtId="0" fontId="23" fillId="0" borderId="13" xfId="0" applyFont="1" applyBorder="1" applyAlignment="1">
      <alignment horizontal="right" wrapText="1"/>
    </xf>
    <xf numFmtId="0" fontId="23" fillId="0" borderId="0" xfId="0" applyFont="1" applyBorder="1" applyAlignment="1">
      <alignment horizontal="right" wrapText="1"/>
    </xf>
    <xf numFmtId="0" fontId="23" fillId="0" borderId="0" xfId="0" applyFont="1" applyBorder="1" applyAlignment="1" applyProtection="1">
      <alignment horizontal="right" vertical="top" wrapText="1"/>
      <protection hidden="1"/>
    </xf>
    <xf numFmtId="0" fontId="23" fillId="0" borderId="13" xfId="0" applyFont="1" applyBorder="1" applyAlignment="1">
      <alignment horizontal="right" vertical="center" wrapText="1"/>
    </xf>
    <xf numFmtId="0" fontId="23" fillId="0" borderId="0" xfId="0" applyFont="1" applyBorder="1" applyAlignment="1">
      <alignment horizontal="right" vertical="center" wrapText="1"/>
    </xf>
    <xf numFmtId="0" fontId="66" fillId="0" borderId="0" xfId="0" applyFont="1" applyFill="1" applyBorder="1" applyAlignment="1" applyProtection="1">
      <alignment horizontal="left" vertical="top" wrapText="1"/>
      <protection hidden="1"/>
    </xf>
    <xf numFmtId="0" fontId="27" fillId="0" borderId="0" xfId="0" applyFont="1" applyFill="1" applyBorder="1" applyAlignment="1" applyProtection="1">
      <alignment horizontal="center" vertical="center" wrapText="1"/>
      <protection hidden="1"/>
    </xf>
    <xf numFmtId="0" fontId="23" fillId="0" borderId="13" xfId="0" applyFont="1" applyFill="1" applyBorder="1" applyAlignment="1" applyProtection="1">
      <alignment horizontal="right" wrapText="1"/>
      <protection hidden="1"/>
    </xf>
    <xf numFmtId="0" fontId="23" fillId="0" borderId="13" xfId="0" applyFont="1" applyFill="1" applyBorder="1" applyAlignment="1" applyProtection="1">
      <alignment horizontal="right" vertical="center" wrapText="1"/>
      <protection hidden="1"/>
    </xf>
    <xf numFmtId="0" fontId="23" fillId="0" borderId="0" xfId="0" applyFont="1" applyFill="1" applyBorder="1" applyAlignment="1" applyProtection="1">
      <alignment horizontal="right" wrapText="1"/>
      <protection hidden="1"/>
    </xf>
    <xf numFmtId="49" fontId="15" fillId="0" borderId="0" xfId="0" applyNumberFormat="1" applyFont="1" applyAlignment="1">
      <alignment horizontal="right" vertical="center"/>
    </xf>
    <xf numFmtId="0" fontId="0" fillId="0" borderId="0" xfId="0" applyAlignment="1">
      <alignment horizontal="right" vertical="center"/>
    </xf>
    <xf numFmtId="0" fontId="0" fillId="0" borderId="0" xfId="0" applyBorder="1" applyAlignment="1">
      <alignment horizontal="right" vertical="center"/>
    </xf>
    <xf numFmtId="49" fontId="0" fillId="0" borderId="0" xfId="0" applyNumberFormat="1" applyAlignment="1">
      <alignment horizontal="right" vertical="center"/>
    </xf>
    <xf numFmtId="0" fontId="15" fillId="0" borderId="0" xfId="0" applyFont="1" applyFill="1" applyBorder="1" applyAlignment="1" applyProtection="1">
      <alignment horizontal="left" vertical="top" wrapText="1"/>
      <protection hidden="1"/>
    </xf>
    <xf numFmtId="0" fontId="38" fillId="0" borderId="0" xfId="0" applyFont="1" applyFill="1" applyBorder="1" applyAlignment="1" applyProtection="1">
      <alignment horizontal="left" vertical="top" wrapText="1"/>
      <protection hidden="1"/>
    </xf>
    <xf numFmtId="0" fontId="23" fillId="0" borderId="0" xfId="0" applyFont="1" applyFill="1" applyBorder="1" applyAlignment="1" applyProtection="1">
      <alignment horizontal="left"/>
      <protection hidden="1"/>
    </xf>
    <xf numFmtId="49" fontId="84" fillId="0" borderId="0" xfId="1" applyNumberFormat="1" applyFont="1" applyFill="1" applyBorder="1" applyAlignment="1">
      <alignment horizontal="center" wrapText="1"/>
    </xf>
    <xf numFmtId="49" fontId="85" fillId="0" borderId="0" xfId="5" applyNumberFormat="1" applyFont="1" applyFill="1">
      <alignment vertical="top"/>
    </xf>
    <xf numFmtId="0" fontId="27" fillId="0" borderId="27" xfId="5" applyFont="1" applyFill="1" applyBorder="1">
      <alignment vertical="top"/>
    </xf>
    <xf numFmtId="0" fontId="15" fillId="0" borderId="28" xfId="5" applyFont="1" applyFill="1" applyBorder="1">
      <alignment vertical="top"/>
    </xf>
    <xf numFmtId="0" fontId="15" fillId="0" borderId="29" xfId="5" applyFont="1" applyFill="1" applyBorder="1">
      <alignment vertical="top"/>
    </xf>
    <xf numFmtId="0" fontId="15" fillId="0" borderId="30" xfId="5" applyFont="1" applyFill="1" applyBorder="1">
      <alignment vertical="top"/>
    </xf>
    <xf numFmtId="0" fontId="15" fillId="0" borderId="5" xfId="5" applyNumberFormat="1" applyFont="1" applyFill="1" applyBorder="1">
      <alignment vertical="top"/>
    </xf>
    <xf numFmtId="0" fontId="15" fillId="0" borderId="32" xfId="5" applyFont="1" applyFill="1" applyBorder="1">
      <alignment vertical="top"/>
    </xf>
    <xf numFmtId="2" fontId="5" fillId="0" borderId="0" xfId="1" applyNumberFormat="1" applyFont="1" applyFill="1" applyAlignment="1">
      <alignment vertical="top" wrapText="1"/>
    </xf>
    <xf numFmtId="168" fontId="9" fillId="0" borderId="0" xfId="4" applyNumberFormat="1" applyFont="1" applyFill="1" applyBorder="1" applyAlignment="1">
      <alignment horizontal="right" wrapText="1"/>
    </xf>
    <xf numFmtId="0" fontId="23" fillId="0" borderId="61" xfId="0" applyFont="1" applyFill="1" applyBorder="1" applyAlignment="1" applyProtection="1">
      <alignment horizontal="center" vertical="center" wrapText="1"/>
      <protection hidden="1"/>
    </xf>
    <xf numFmtId="0" fontId="23" fillId="0" borderId="61" xfId="0" applyFont="1" applyFill="1" applyBorder="1" applyAlignment="1" applyProtection="1">
      <alignment horizontal="center" vertical="center"/>
      <protection hidden="1"/>
    </xf>
    <xf numFmtId="0" fontId="15" fillId="0" borderId="0" xfId="0" applyFont="1" applyBorder="1" applyAlignment="1">
      <alignment vertical="top" wrapText="1"/>
    </xf>
    <xf numFmtId="0" fontId="38" fillId="0" borderId="0" xfId="0" applyFont="1" applyFill="1" applyBorder="1" applyAlignment="1">
      <alignment horizontal="left" vertical="top" wrapText="1"/>
    </xf>
    <xf numFmtId="9" fontId="15" fillId="0" borderId="0" xfId="2" applyFont="1" applyBorder="1" applyAlignment="1" applyProtection="1">
      <alignment horizontal="right"/>
      <protection hidden="1"/>
    </xf>
    <xf numFmtId="0" fontId="23" fillId="0" borderId="13" xfId="0" applyFont="1" applyBorder="1" applyAlignment="1" applyProtection="1">
      <alignment horizontal="center" vertical="top" wrapText="1"/>
      <protection hidden="1"/>
    </xf>
    <xf numFmtId="0" fontId="23" fillId="0" borderId="0" xfId="0" applyFont="1" applyFill="1" applyBorder="1" applyAlignment="1" applyProtection="1">
      <alignment horizontal="center" vertical="center" wrapText="1"/>
      <protection hidden="1"/>
    </xf>
    <xf numFmtId="0" fontId="23" fillId="0" borderId="15" xfId="0" applyFont="1" applyBorder="1" applyAlignment="1">
      <alignment horizontal="right" vertical="center"/>
    </xf>
    <xf numFmtId="0" fontId="0" fillId="0" borderId="37" xfId="0" applyFill="1" applyBorder="1" applyAlignment="1">
      <alignment horizontal="center" vertical="center"/>
    </xf>
    <xf numFmtId="168" fontId="9" fillId="0" borderId="0" xfId="4" applyNumberFormat="1" applyFont="1" applyFill="1" applyBorder="1" applyAlignment="1">
      <alignment horizontal="center" vertical="center" wrapText="1"/>
    </xf>
    <xf numFmtId="9" fontId="23" fillId="22" borderId="15" xfId="0" applyNumberFormat="1" applyFont="1" applyFill="1" applyBorder="1" applyAlignment="1" applyProtection="1">
      <alignment horizontal="center"/>
      <protection hidden="1"/>
    </xf>
    <xf numFmtId="0" fontId="0" fillId="0" borderId="13" xfId="0" applyFill="1" applyBorder="1" applyAlignment="1" applyProtection="1">
      <alignment horizontal="center" vertical="center"/>
      <protection hidden="1"/>
    </xf>
    <xf numFmtId="0" fontId="23" fillId="0" borderId="13" xfId="0" applyFont="1" applyFill="1" applyBorder="1" applyAlignment="1" applyProtection="1">
      <alignment horizontal="center" vertical="center" wrapText="1"/>
      <protection hidden="1"/>
    </xf>
    <xf numFmtId="0" fontId="23" fillId="0" borderId="0" xfId="0" applyFont="1" applyFill="1" applyBorder="1" applyAlignment="1" applyProtection="1">
      <alignment horizontal="center" vertical="center"/>
      <protection hidden="1"/>
    </xf>
    <xf numFmtId="0" fontId="23" fillId="0" borderId="13" xfId="0" applyFont="1" applyFill="1" applyBorder="1" applyAlignment="1" applyProtection="1">
      <alignment horizontal="center" vertical="center"/>
      <protection hidden="1"/>
    </xf>
    <xf numFmtId="49" fontId="0" fillId="0" borderId="0" xfId="0" applyNumberFormat="1" applyAlignment="1">
      <alignment horizontal="right" vertical="top"/>
    </xf>
    <xf numFmtId="14" fontId="9" fillId="0" borderId="0" xfId="1" applyNumberFormat="1" applyFont="1" applyFill="1" applyBorder="1" applyAlignment="1">
      <alignment horizontal="center" vertical="center" wrapText="1"/>
    </xf>
    <xf numFmtId="166" fontId="9" fillId="0" borderId="0" xfId="1" applyNumberFormat="1" applyFont="1" applyFill="1" applyBorder="1" applyAlignment="1">
      <alignment horizontal="center" vertical="center" wrapText="1"/>
    </xf>
    <xf numFmtId="0" fontId="0" fillId="0" borderId="13" xfId="0" applyFill="1" applyBorder="1" applyAlignment="1">
      <alignment horizontal="center"/>
    </xf>
    <xf numFmtId="0" fontId="50" fillId="0" borderId="21" xfId="0" applyFont="1" applyFill="1" applyBorder="1" applyAlignment="1" applyProtection="1">
      <alignment horizontal="center" vertical="center" wrapText="1"/>
      <protection hidden="1"/>
    </xf>
    <xf numFmtId="9" fontId="0" fillId="0" borderId="0" xfId="0" applyNumberFormat="1" applyFill="1" applyBorder="1" applyAlignment="1">
      <alignment horizontal="center"/>
    </xf>
    <xf numFmtId="0" fontId="0" fillId="0" borderId="21" xfId="0" applyFill="1" applyBorder="1" applyProtection="1">
      <protection hidden="1"/>
    </xf>
    <xf numFmtId="0" fontId="23" fillId="0" borderId="23" xfId="0" applyFont="1" applyFill="1" applyBorder="1" applyAlignment="1" applyProtection="1">
      <alignment horizontal="center" vertical="center" wrapText="1"/>
      <protection hidden="1"/>
    </xf>
    <xf numFmtId="14" fontId="9" fillId="0" borderId="23" xfId="1" applyNumberFormat="1" applyFont="1" applyFill="1" applyBorder="1" applyAlignment="1">
      <alignment horizontal="center" vertical="center" wrapText="1"/>
    </xf>
    <xf numFmtId="166" fontId="9" fillId="0" borderId="23" xfId="1" applyNumberFormat="1" applyFont="1" applyFill="1" applyBorder="1" applyAlignment="1">
      <alignment horizontal="center" vertical="center" wrapText="1"/>
    </xf>
    <xf numFmtId="9" fontId="0" fillId="0" borderId="50" xfId="0" applyNumberFormat="1" applyBorder="1" applyAlignment="1">
      <alignment horizontal="left"/>
    </xf>
    <xf numFmtId="9" fontId="0" fillId="0" borderId="24" xfId="0" applyNumberFormat="1" applyBorder="1" applyAlignment="1">
      <alignment horizontal="left"/>
    </xf>
    <xf numFmtId="168" fontId="0" fillId="0" borderId="50" xfId="4" applyNumberFormat="1" applyFont="1" applyBorder="1"/>
    <xf numFmtId="9" fontId="23" fillId="22" borderId="15" xfId="0"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left" vertical="center" wrapText="1"/>
      <protection hidden="1"/>
    </xf>
    <xf numFmtId="0" fontId="29" fillId="0" borderId="0" xfId="1" applyFont="1" applyFill="1" applyAlignment="1">
      <alignment horizontal="left" vertical="top" wrapText="1"/>
    </xf>
    <xf numFmtId="0" fontId="15" fillId="0" borderId="13" xfId="0" applyFont="1" applyFill="1" applyBorder="1" applyAlignment="1" applyProtection="1">
      <alignment horizontal="left" vertical="center" wrapText="1"/>
      <protection hidden="1"/>
    </xf>
    <xf numFmtId="0" fontId="15" fillId="0" borderId="0" xfId="0" applyFont="1" applyFill="1" applyBorder="1" applyAlignment="1" applyProtection="1">
      <alignment horizontal="left" vertical="center" wrapText="1"/>
      <protection hidden="1"/>
    </xf>
    <xf numFmtId="0" fontId="15" fillId="0" borderId="21" xfId="0" applyFont="1" applyFill="1" applyBorder="1" applyAlignment="1" applyProtection="1">
      <alignment horizontal="left" vertical="center" wrapText="1"/>
      <protection hidden="1"/>
    </xf>
    <xf numFmtId="0" fontId="27"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horizontal="left" vertical="center"/>
      <protection hidden="1"/>
    </xf>
    <xf numFmtId="0" fontId="49" fillId="0" borderId="0" xfId="0" applyFont="1" applyBorder="1" applyAlignment="1" applyProtection="1">
      <alignment horizontal="right"/>
      <protection hidden="1"/>
    </xf>
    <xf numFmtId="1" fontId="15" fillId="0" borderId="0" xfId="0" applyNumberFormat="1" applyFont="1" applyAlignment="1">
      <alignment horizontal="center" wrapText="1"/>
    </xf>
    <xf numFmtId="14" fontId="9" fillId="0" borderId="0" xfId="1" applyNumberFormat="1" applyFont="1" applyFill="1" applyBorder="1" applyAlignment="1">
      <alignment horizontal="center" wrapText="1"/>
    </xf>
    <xf numFmtId="0" fontId="23" fillId="0" borderId="0" xfId="0" applyFont="1" applyBorder="1" applyAlignment="1" applyProtection="1">
      <alignment horizontal="right" wrapText="1"/>
      <protection hidden="1"/>
    </xf>
    <xf numFmtId="0" fontId="23" fillId="0" borderId="30" xfId="0" applyFont="1" applyBorder="1" applyAlignment="1" applyProtection="1">
      <alignment horizontal="right" wrapText="1"/>
      <protection hidden="1"/>
    </xf>
    <xf numFmtId="0" fontId="15" fillId="0" borderId="21" xfId="0" applyFont="1" applyFill="1" applyBorder="1"/>
    <xf numFmtId="0" fontId="29" fillId="0" borderId="0" xfId="1" applyFont="1" applyFill="1" applyAlignment="1">
      <alignment horizontal="left" vertical="top" wrapText="1"/>
    </xf>
    <xf numFmtId="0" fontId="23" fillId="0" borderId="13" xfId="0" applyFont="1" applyFill="1" applyBorder="1"/>
    <xf numFmtId="0" fontId="23" fillId="0" borderId="0" xfId="0" applyFont="1" applyBorder="1" applyAlignment="1" applyProtection="1">
      <alignment horizontal="left" vertical="center"/>
      <protection hidden="1"/>
    </xf>
    <xf numFmtId="0" fontId="0" fillId="0" borderId="0" xfId="0" applyFill="1" applyBorder="1" applyAlignment="1">
      <alignment horizontal="center" vertical="center"/>
    </xf>
    <xf numFmtId="0" fontId="0" fillId="0" borderId="0" xfId="0" applyFill="1" applyProtection="1"/>
    <xf numFmtId="9" fontId="15" fillId="0" borderId="0" xfId="0" applyNumberFormat="1" applyFont="1" applyFill="1" applyBorder="1" applyAlignment="1" applyProtection="1">
      <alignment horizontal="center" vertical="center"/>
      <protection hidden="1"/>
    </xf>
    <xf numFmtId="9" fontId="3" fillId="0" borderId="0" xfId="2" applyFont="1" applyFill="1" applyBorder="1" applyAlignment="1">
      <alignment horizontal="center" wrapText="1"/>
    </xf>
    <xf numFmtId="0" fontId="65" fillId="0" borderId="0" xfId="0" applyFont="1" applyFill="1" applyBorder="1" applyAlignment="1" applyProtection="1">
      <alignment horizontal="center" vertical="center"/>
      <protection hidden="1"/>
    </xf>
    <xf numFmtId="9" fontId="15" fillId="0" borderId="0" xfId="2" applyNumberFormat="1" applyFont="1" applyFill="1" applyBorder="1" applyAlignment="1">
      <alignment horizontal="center" vertical="center"/>
    </xf>
    <xf numFmtId="0" fontId="23" fillId="0" borderId="0" xfId="0" applyFont="1" applyBorder="1" applyAlignment="1" applyProtection="1">
      <alignment horizontal="center" vertical="center" wrapText="1"/>
      <protection hidden="1"/>
    </xf>
    <xf numFmtId="0" fontId="63" fillId="0" borderId="21" xfId="0" applyFont="1" applyFill="1" applyBorder="1"/>
    <xf numFmtId="0" fontId="15" fillId="6" borderId="84" xfId="0" applyFont="1" applyFill="1" applyBorder="1"/>
    <xf numFmtId="14" fontId="0" fillId="0" borderId="85" xfId="0" applyNumberFormat="1" applyBorder="1" applyAlignment="1">
      <alignment horizontal="center"/>
    </xf>
    <xf numFmtId="0" fontId="15" fillId="6" borderId="84" xfId="0" applyFont="1" applyFill="1" applyBorder="1" applyAlignment="1">
      <alignment horizontal="right"/>
    </xf>
    <xf numFmtId="2" fontId="0" fillId="0" borderId="85" xfId="0" applyNumberFormat="1" applyBorder="1" applyAlignment="1">
      <alignment horizontal="center"/>
    </xf>
    <xf numFmtId="0" fontId="27" fillId="6" borderId="88" xfId="0" applyFont="1" applyFill="1" applyBorder="1" applyAlignment="1" applyProtection="1">
      <alignment horizontal="center" vertical="center" wrapText="1"/>
      <protection hidden="1"/>
    </xf>
    <xf numFmtId="0" fontId="27" fillId="6" borderId="89" xfId="0" applyFont="1" applyFill="1" applyBorder="1" applyAlignment="1" applyProtection="1">
      <alignment horizontal="center" vertical="center" wrapText="1"/>
      <protection hidden="1"/>
    </xf>
    <xf numFmtId="9" fontId="15" fillId="0" borderId="14" xfId="2" applyNumberFormat="1" applyFont="1" applyFill="1" applyBorder="1" applyAlignment="1">
      <alignment horizontal="center" vertical="center"/>
    </xf>
    <xf numFmtId="9" fontId="15" fillId="0" borderId="24" xfId="2" applyNumberFormat="1" applyFont="1" applyFill="1" applyBorder="1" applyAlignment="1">
      <alignment horizontal="center" vertical="center"/>
    </xf>
    <xf numFmtId="9" fontId="15" fillId="23" borderId="73" xfId="0" applyNumberFormat="1" applyFont="1" applyFill="1" applyBorder="1" applyAlignment="1">
      <alignment horizontal="center"/>
    </xf>
    <xf numFmtId="9" fontId="15" fillId="23" borderId="74" xfId="0" applyNumberFormat="1" applyFont="1" applyFill="1" applyBorder="1" applyAlignment="1">
      <alignment horizontal="center"/>
    </xf>
    <xf numFmtId="9" fontId="15" fillId="23" borderId="75" xfId="0" applyNumberFormat="1" applyFont="1" applyFill="1" applyBorder="1" applyAlignment="1">
      <alignment horizontal="center"/>
    </xf>
    <xf numFmtId="9" fontId="15" fillId="23" borderId="76" xfId="0" applyNumberFormat="1" applyFont="1" applyFill="1" applyBorder="1" applyAlignment="1">
      <alignment horizontal="center"/>
    </xf>
    <xf numFmtId="0" fontId="0" fillId="0" borderId="0" xfId="0" applyFill="1" applyAlignment="1">
      <alignment horizontal="right"/>
    </xf>
    <xf numFmtId="0" fontId="90" fillId="0" borderId="0" xfId="0" applyFont="1"/>
    <xf numFmtId="0" fontId="0" fillId="24" borderId="0" xfId="0" applyFill="1"/>
    <xf numFmtId="0" fontId="15" fillId="24" borderId="0" xfId="0" applyFont="1" applyFill="1"/>
    <xf numFmtId="0" fontId="69" fillId="0" borderId="0" xfId="0" applyFont="1"/>
    <xf numFmtId="0" fontId="50" fillId="0" borderId="0" xfId="0" applyFont="1" applyBorder="1" applyAlignment="1">
      <alignment vertical="center" wrapText="1"/>
    </xf>
    <xf numFmtId="10" fontId="0" fillId="0" borderId="0" xfId="2" applyNumberFormat="1" applyFont="1" applyBorder="1"/>
    <xf numFmtId="10" fontId="0" fillId="0" borderId="0" xfId="0" applyNumberFormat="1" applyBorder="1"/>
    <xf numFmtId="14" fontId="0" fillId="0" borderId="31" xfId="0" applyNumberFormat="1" applyFill="1" applyBorder="1" applyAlignment="1" applyProtection="1">
      <alignment horizontal="right" vertical="center" wrapText="1"/>
      <protection hidden="1"/>
    </xf>
    <xf numFmtId="0" fontId="15" fillId="0" borderId="32" xfId="0" quotePrefix="1" applyFont="1" applyFill="1" applyBorder="1" applyAlignment="1" applyProtection="1">
      <alignment horizontal="left" vertical="center" wrapText="1"/>
      <protection hidden="1"/>
    </xf>
    <xf numFmtId="0" fontId="87" fillId="0" borderId="0" xfId="0" applyFont="1" applyFill="1"/>
    <xf numFmtId="0" fontId="27" fillId="0" borderId="0" xfId="0" applyFont="1" applyFill="1" applyBorder="1" applyAlignment="1" applyProtection="1">
      <alignment horizontal="center" vertical="center" wrapText="1"/>
      <protection hidden="1"/>
    </xf>
    <xf numFmtId="14" fontId="0" fillId="0" borderId="0" xfId="0" applyNumberFormat="1" applyAlignment="1">
      <alignment wrapText="1"/>
    </xf>
    <xf numFmtId="0" fontId="52" fillId="0" borderId="0" xfId="0" applyFont="1" applyFill="1" applyBorder="1" applyAlignment="1">
      <alignment horizontal="right"/>
    </xf>
    <xf numFmtId="9" fontId="52" fillId="0" borderId="0" xfId="2" applyFont="1" applyFill="1" applyBorder="1"/>
    <xf numFmtId="0" fontId="23" fillId="0" borderId="0" xfId="0" applyFont="1" applyFill="1" applyBorder="1" applyAlignment="1">
      <alignment horizontal="right"/>
    </xf>
    <xf numFmtId="0" fontId="15" fillId="0" borderId="0" xfId="0" applyFont="1" applyFill="1" applyBorder="1" applyAlignment="1" applyProtection="1">
      <alignment horizontal="left" vertical="top" wrapText="1"/>
      <protection hidden="1"/>
    </xf>
    <xf numFmtId="0" fontId="66" fillId="0" borderId="0" xfId="0" applyFont="1" applyFill="1" applyBorder="1" applyAlignment="1" applyProtection="1">
      <alignment horizontal="left" vertical="top" wrapText="1"/>
      <protection hidden="1"/>
    </xf>
    <xf numFmtId="0" fontId="0" fillId="0" borderId="90" xfId="0" applyBorder="1"/>
    <xf numFmtId="1" fontId="0" fillId="0" borderId="0" xfId="0" applyNumberFormat="1" applyAlignment="1">
      <alignment horizontal="center" vertical="center" wrapText="1"/>
    </xf>
    <xf numFmtId="0" fontId="15" fillId="0" borderId="0" xfId="0" applyFont="1" applyFill="1" applyBorder="1" applyAlignment="1"/>
    <xf numFmtId="0" fontId="52" fillId="0" borderId="0" xfId="0" applyFont="1" applyFill="1" applyBorder="1"/>
    <xf numFmtId="0" fontId="15" fillId="0" borderId="0" xfId="0" applyFont="1" applyFill="1" applyBorder="1" applyAlignment="1">
      <alignment horizontal="center"/>
    </xf>
    <xf numFmtId="0" fontId="27" fillId="0" borderId="37" xfId="0" applyFont="1" applyFill="1" applyBorder="1" applyAlignment="1" applyProtection="1">
      <alignment horizontal="left" vertical="center" wrapText="1"/>
      <protection hidden="1"/>
    </xf>
    <xf numFmtId="0" fontId="15" fillId="0" borderId="38" xfId="0" applyFont="1" applyFill="1" applyBorder="1" applyAlignment="1">
      <alignment horizontal="left"/>
    </xf>
    <xf numFmtId="0" fontId="27" fillId="0" borderId="38" xfId="0" applyFont="1" applyFill="1" applyBorder="1" applyAlignment="1" applyProtection="1">
      <alignment horizontal="center" vertical="center" wrapText="1"/>
      <protection hidden="1"/>
    </xf>
    <xf numFmtId="14" fontId="15" fillId="0" borderId="39" xfId="0" applyNumberFormat="1" applyFont="1" applyFill="1" applyBorder="1" applyAlignment="1" applyProtection="1">
      <alignment horizontal="center" vertical="center" wrapText="1"/>
      <protection hidden="1"/>
    </xf>
    <xf numFmtId="0" fontId="20" fillId="3" borderId="0" xfId="0" applyFont="1" applyFill="1" applyBorder="1" applyAlignment="1">
      <alignment horizontal="right" vertical="center" wrapText="1"/>
    </xf>
    <xf numFmtId="0" fontId="8" fillId="3" borderId="0" xfId="0" applyFont="1" applyFill="1" applyBorder="1" applyAlignment="1">
      <alignment vertical="center"/>
    </xf>
    <xf numFmtId="9" fontId="25" fillId="3" borderId="0" xfId="2" applyFont="1" applyFill="1" applyBorder="1" applyAlignment="1">
      <alignment horizontal="center" vertical="center"/>
    </xf>
    <xf numFmtId="9" fontId="8" fillId="3" borderId="0" xfId="2" applyFont="1" applyFill="1" applyBorder="1" applyAlignment="1">
      <alignment horizontal="center" vertical="center"/>
    </xf>
    <xf numFmtId="0" fontId="20" fillId="3" borderId="0" xfId="0" applyFont="1" applyFill="1" applyBorder="1" applyAlignment="1">
      <alignment horizontal="right"/>
    </xf>
    <xf numFmtId="0" fontId="6" fillId="3" borderId="0" xfId="0" applyFont="1" applyFill="1" applyBorder="1"/>
    <xf numFmtId="0" fontId="8" fillId="3" borderId="0" xfId="0" applyFont="1" applyFill="1" applyBorder="1" applyAlignment="1">
      <alignment horizontal="center"/>
    </xf>
    <xf numFmtId="0" fontId="30" fillId="12" borderId="22" xfId="3" applyFont="1" applyFill="1" applyBorder="1" applyAlignment="1" applyProtection="1">
      <alignment horizontal="center" vertical="center" wrapText="1"/>
      <protection hidden="1"/>
    </xf>
    <xf numFmtId="0" fontId="23" fillId="9" borderId="55" xfId="0" applyFont="1" applyFill="1" applyBorder="1" applyProtection="1">
      <protection hidden="1"/>
    </xf>
    <xf numFmtId="0" fontId="0" fillId="0" borderId="13" xfId="0" applyBorder="1" applyAlignment="1">
      <alignment horizontal="left" vertical="top" wrapText="1"/>
    </xf>
    <xf numFmtId="0" fontId="0" fillId="0" borderId="0" xfId="0" applyBorder="1" applyAlignment="1">
      <alignment horizontal="left" vertical="top" wrapText="1"/>
    </xf>
    <xf numFmtId="0" fontId="0" fillId="0" borderId="21" xfId="0" applyBorder="1" applyAlignment="1">
      <alignment horizontal="left" vertical="top" wrapText="1"/>
    </xf>
    <xf numFmtId="0" fontId="15" fillId="0" borderId="13" xfId="0" applyFont="1" applyBorder="1" applyAlignment="1">
      <alignment horizontal="left" vertical="center" indent="1" readingOrder="1"/>
    </xf>
    <xf numFmtId="0" fontId="15" fillId="0" borderId="21" xfId="0" applyFont="1" applyBorder="1"/>
    <xf numFmtId="0" fontId="15" fillId="0" borderId="13" xfId="0" applyFont="1" applyBorder="1" applyAlignment="1">
      <alignment horizontal="left" vertical="center" readingOrder="1"/>
    </xf>
    <xf numFmtId="0" fontId="15" fillId="0" borderId="0" xfId="0" quotePrefix="1" applyFont="1" applyBorder="1"/>
    <xf numFmtId="0" fontId="15" fillId="0" borderId="0" xfId="0" applyFont="1" applyFill="1" applyBorder="1" applyAlignment="1" applyProtection="1">
      <alignment horizontal="left" vertical="top" wrapText="1"/>
      <protection hidden="1"/>
    </xf>
    <xf numFmtId="0" fontId="49" fillId="0" borderId="0" xfId="0" applyFont="1" applyBorder="1" applyAlignment="1" applyProtection="1">
      <alignment horizontal="center"/>
      <protection hidden="1"/>
    </xf>
    <xf numFmtId="0" fontId="15" fillId="0" borderId="0" xfId="0" applyFont="1" applyAlignment="1">
      <alignment horizontal="left" vertical="top" wrapText="1"/>
    </xf>
    <xf numFmtId="0" fontId="51" fillId="0" borderId="0" xfId="3" applyFont="1" applyBorder="1" applyAlignment="1" applyProtection="1">
      <alignment horizontal="left" vertical="top"/>
    </xf>
    <xf numFmtId="0" fontId="15" fillId="0" borderId="14" xfId="0" applyFont="1" applyBorder="1" applyAlignment="1">
      <alignment horizontal="left" vertical="top" wrapText="1"/>
    </xf>
    <xf numFmtId="0" fontId="15" fillId="0" borderId="23" xfId="0" applyFont="1" applyBorder="1" applyAlignment="1">
      <alignment horizontal="left" vertical="top" wrapText="1"/>
    </xf>
    <xf numFmtId="0" fontId="15" fillId="0" borderId="24" xfId="0" applyFont="1" applyBorder="1" applyAlignment="1">
      <alignment horizontal="left" vertical="top" wrapText="1"/>
    </xf>
    <xf numFmtId="49" fontId="15" fillId="0" borderId="0" xfId="0" applyNumberFormat="1" applyFont="1" applyAlignment="1">
      <alignment horizontal="right" vertical="top"/>
    </xf>
    <xf numFmtId="0" fontId="0" fillId="0" borderId="0" xfId="0" applyAlignment="1">
      <alignment horizontal="right" vertical="top"/>
    </xf>
    <xf numFmtId="0" fontId="0" fillId="0" borderId="0" xfId="0" applyBorder="1" applyAlignment="1">
      <alignment horizontal="right" vertical="top"/>
    </xf>
    <xf numFmtId="0" fontId="0" fillId="0" borderId="0" xfId="0" applyAlignment="1">
      <alignment vertical="top"/>
    </xf>
    <xf numFmtId="0" fontId="0" fillId="0" borderId="0" xfId="0" applyFill="1" applyAlignment="1">
      <alignment vertical="top"/>
    </xf>
    <xf numFmtId="0" fontId="0" fillId="0" borderId="0" xfId="0" applyFill="1" applyBorder="1" applyAlignment="1">
      <alignment vertical="top"/>
    </xf>
    <xf numFmtId="14" fontId="0" fillId="0" borderId="0" xfId="0" applyNumberFormat="1" applyFill="1" applyBorder="1" applyAlignment="1" applyProtection="1">
      <alignment horizontal="right" vertical="center" wrapText="1"/>
      <protection hidden="1"/>
    </xf>
    <xf numFmtId="0" fontId="15" fillId="0" borderId="0" xfId="0" quotePrefix="1" applyFont="1" applyFill="1" applyBorder="1" applyAlignment="1" applyProtection="1">
      <alignment horizontal="left" vertical="center" wrapText="1"/>
      <protection hidden="1"/>
    </xf>
    <xf numFmtId="0" fontId="50" fillId="0" borderId="21" xfId="0" applyFont="1" applyFill="1" applyBorder="1" applyAlignment="1" applyProtection="1">
      <alignment horizontal="center" vertical="center" wrapText="1"/>
      <protection hidden="1"/>
    </xf>
    <xf numFmtId="0" fontId="96" fillId="0" borderId="0" xfId="0" applyFont="1" applyAlignment="1">
      <alignment vertical="top"/>
    </xf>
    <xf numFmtId="0" fontId="29" fillId="0" borderId="0" xfId="1" applyFont="1" applyFill="1" applyBorder="1" applyAlignment="1">
      <alignment horizontal="center" vertical="top" wrapText="1"/>
    </xf>
    <xf numFmtId="0" fontId="15" fillId="0" borderId="0" xfId="0" applyFont="1" applyFill="1" applyBorder="1" applyAlignment="1" applyProtection="1">
      <alignment horizontal="left" vertical="center" wrapText="1"/>
      <protection hidden="1"/>
    </xf>
    <xf numFmtId="0" fontId="15" fillId="0" borderId="0" xfId="0" applyFont="1" applyFill="1" applyBorder="1" applyAlignment="1" applyProtection="1">
      <alignment horizontal="left" vertical="top" wrapText="1"/>
      <protection hidden="1"/>
    </xf>
    <xf numFmtId="0" fontId="29" fillId="0" borderId="0" xfId="1" applyFont="1" applyFill="1" applyAlignment="1">
      <alignment horizontal="left" vertical="top" wrapText="1"/>
    </xf>
    <xf numFmtId="2" fontId="4" fillId="0" borderId="0" xfId="1" applyNumberFormat="1" applyFont="1" applyFill="1" applyAlignment="1">
      <alignment vertical="top"/>
    </xf>
    <xf numFmtId="0" fontId="0" fillId="0" borderId="0" xfId="0" applyFill="1" applyBorder="1" applyAlignment="1">
      <alignment horizontal="left" vertical="center" wrapText="1"/>
    </xf>
    <xf numFmtId="0" fontId="0" fillId="0" borderId="0" xfId="0" applyFill="1" applyBorder="1" applyAlignment="1">
      <alignment wrapText="1"/>
    </xf>
    <xf numFmtId="0" fontId="58" fillId="0" borderId="8" xfId="5" applyFont="1" applyFill="1" applyBorder="1">
      <alignment vertical="top"/>
    </xf>
    <xf numFmtId="0" fontId="58" fillId="0" borderId="19" xfId="5" applyFont="1" applyFill="1" applyBorder="1">
      <alignment vertical="top"/>
    </xf>
    <xf numFmtId="2" fontId="58" fillId="0" borderId="19" xfId="5" applyNumberFormat="1" applyFont="1" applyFill="1" applyBorder="1">
      <alignment vertical="top"/>
    </xf>
    <xf numFmtId="1" fontId="15" fillId="0" borderId="13" xfId="5" applyNumberFormat="1" applyFont="1" applyFill="1" applyBorder="1">
      <alignment vertical="top"/>
    </xf>
    <xf numFmtId="1" fontId="52" fillId="0" borderId="13" xfId="5" applyNumberFormat="1" applyFont="1" applyFill="1" applyBorder="1" applyAlignment="1">
      <alignment horizontal="right" vertical="top"/>
    </xf>
    <xf numFmtId="1" fontId="63" fillId="0" borderId="13" xfId="5" applyNumberFormat="1" applyFont="1" applyFill="1" applyBorder="1" applyAlignment="1">
      <alignment horizontal="right" vertical="top"/>
    </xf>
    <xf numFmtId="1" fontId="63" fillId="0" borderId="14" xfId="5" applyNumberFormat="1" applyFont="1" applyFill="1" applyBorder="1" applyAlignment="1">
      <alignment horizontal="right" vertical="top"/>
    </xf>
    <xf numFmtId="0" fontId="50" fillId="0" borderId="0" xfId="0" applyFont="1" applyFill="1" applyBorder="1" applyAlignment="1" applyProtection="1">
      <alignment horizontal="center" vertical="center" wrapText="1"/>
      <protection hidden="1"/>
    </xf>
    <xf numFmtId="0" fontId="30" fillId="0" borderId="0" xfId="3" applyFont="1" applyFill="1" applyBorder="1" applyAlignment="1" applyProtection="1">
      <alignment horizontal="center" vertical="center" wrapText="1"/>
      <protection hidden="1"/>
    </xf>
    <xf numFmtId="0" fontId="15" fillId="0" borderId="0" xfId="5" applyFont="1" applyFill="1" applyBorder="1" applyAlignment="1">
      <alignment horizontal="center" wrapText="1"/>
    </xf>
    <xf numFmtId="0" fontId="15" fillId="0" borderId="21" xfId="5" applyFont="1" applyFill="1" applyBorder="1" applyAlignment="1">
      <alignment horizontal="center" wrapText="1"/>
    </xf>
    <xf numFmtId="2" fontId="52" fillId="0" borderId="20" xfId="5" applyNumberFormat="1" applyFont="1" applyFill="1" applyBorder="1" applyAlignment="1">
      <alignment horizontal="left" vertical="top"/>
    </xf>
    <xf numFmtId="37" fontId="15" fillId="0" borderId="0" xfId="5" applyNumberFormat="1" applyFont="1" applyFill="1" applyBorder="1">
      <alignment vertical="top"/>
    </xf>
    <xf numFmtId="37" fontId="15" fillId="0" borderId="21" xfId="5" applyNumberFormat="1" applyFont="1" applyFill="1" applyBorder="1">
      <alignment vertical="top"/>
    </xf>
    <xf numFmtId="168" fontId="15" fillId="0" borderId="0" xfId="4" applyNumberFormat="1" applyFont="1" applyFill="1" applyBorder="1" applyAlignment="1">
      <alignment vertical="top"/>
    </xf>
    <xf numFmtId="168" fontId="15" fillId="0" borderId="21" xfId="4" applyNumberFormat="1" applyFont="1" applyFill="1" applyBorder="1" applyAlignment="1">
      <alignment vertical="top"/>
    </xf>
    <xf numFmtId="1" fontId="27" fillId="0" borderId="94" xfId="5" applyNumberFormat="1" applyFont="1" applyFill="1" applyBorder="1" applyAlignment="1">
      <alignment horizontal="right" vertical="center" wrapText="1"/>
    </xf>
    <xf numFmtId="0" fontId="58" fillId="0" borderId="20" xfId="5" applyFont="1" applyFill="1" applyBorder="1">
      <alignment vertical="top"/>
    </xf>
    <xf numFmtId="0" fontId="52" fillId="0" borderId="21" xfId="5" applyFont="1" applyFill="1" applyBorder="1" applyAlignment="1">
      <alignment horizontal="center" wrapText="1"/>
    </xf>
    <xf numFmtId="49" fontId="63" fillId="0" borderId="95" xfId="5" applyNumberFormat="1" applyFont="1" applyFill="1" applyBorder="1" applyAlignment="1">
      <alignment horizontal="center" vertical="center" wrapText="1"/>
    </xf>
    <xf numFmtId="168" fontId="63" fillId="0" borderId="21" xfId="5" applyNumberFormat="1" applyFont="1" applyFill="1" applyBorder="1">
      <alignment vertical="top"/>
    </xf>
    <xf numFmtId="168" fontId="63" fillId="0" borderId="24" xfId="5" applyNumberFormat="1" applyFont="1" applyFill="1" applyBorder="1">
      <alignment vertical="top"/>
    </xf>
    <xf numFmtId="168" fontId="15" fillId="0" borderId="23" xfId="4" applyNumberFormat="1" applyFont="1" applyFill="1" applyBorder="1" applyAlignment="1">
      <alignment vertical="top"/>
    </xf>
    <xf numFmtId="168" fontId="15" fillId="0" borderId="24" xfId="4" applyNumberFormat="1" applyFont="1" applyFill="1" applyBorder="1" applyAlignment="1">
      <alignment vertical="top"/>
    </xf>
    <xf numFmtId="0" fontId="23" fillId="0" borderId="5" xfId="5" applyNumberFormat="1" applyFont="1" applyFill="1" applyBorder="1" applyAlignment="1" applyProtection="1">
      <alignment horizontal="center" vertical="center" wrapText="1"/>
    </xf>
    <xf numFmtId="49" fontId="23" fillId="0" borderId="5" xfId="5" applyNumberFormat="1" applyFont="1" applyFill="1" applyBorder="1" applyAlignment="1">
      <alignment horizontal="center" vertical="center" wrapText="1"/>
    </xf>
    <xf numFmtId="49" fontId="23" fillId="0" borderId="95" xfId="5" applyNumberFormat="1" applyFont="1" applyFill="1" applyBorder="1" applyAlignment="1">
      <alignment horizontal="center" vertical="center" wrapText="1"/>
    </xf>
    <xf numFmtId="0" fontId="15" fillId="0" borderId="19" xfId="0" applyFont="1" applyBorder="1"/>
    <xf numFmtId="1" fontId="0" fillId="0" borderId="23" xfId="0" applyNumberFormat="1" applyBorder="1"/>
    <xf numFmtId="9" fontId="0" fillId="0" borderId="0" xfId="0" applyNumberFormat="1"/>
    <xf numFmtId="0" fontId="27" fillId="0" borderId="0" xfId="0" applyFont="1" applyFill="1" applyBorder="1" applyAlignment="1" applyProtection="1">
      <alignment horizontal="center" vertical="center" wrapText="1"/>
      <protection hidden="1"/>
    </xf>
    <xf numFmtId="0" fontId="36" fillId="0" borderId="0" xfId="0" applyFont="1" applyFill="1" applyBorder="1" applyAlignment="1" applyProtection="1">
      <alignment horizontal="center"/>
      <protection hidden="1"/>
    </xf>
    <xf numFmtId="2" fontId="15" fillId="0" borderId="0" xfId="0" applyNumberFormat="1" applyFont="1" applyFill="1" applyBorder="1" applyAlignment="1" applyProtection="1">
      <alignment horizontal="center"/>
      <protection hidden="1"/>
    </xf>
    <xf numFmtId="0" fontId="51" fillId="0" borderId="30" xfId="3" applyFont="1" applyFill="1" applyBorder="1" applyAlignment="1" applyProtection="1">
      <alignment horizontal="center" vertical="center" wrapText="1"/>
      <protection hidden="1"/>
    </xf>
    <xf numFmtId="2" fontId="15" fillId="0" borderId="30" xfId="0" applyNumberFormat="1" applyFont="1" applyBorder="1" applyAlignment="1" applyProtection="1">
      <alignment horizontal="center"/>
      <protection hidden="1"/>
    </xf>
    <xf numFmtId="2" fontId="15" fillId="0" borderId="32" xfId="0" applyNumberFormat="1" applyFont="1" applyBorder="1" applyAlignment="1" applyProtection="1">
      <alignment horizontal="center"/>
      <protection hidden="1"/>
    </xf>
    <xf numFmtId="0" fontId="23" fillId="0" borderId="0" xfId="3" applyFont="1" applyFill="1" applyBorder="1" applyAlignment="1" applyProtection="1">
      <alignment horizontal="center" vertical="center" wrapText="1"/>
      <protection hidden="1"/>
    </xf>
    <xf numFmtId="0" fontId="23" fillId="0" borderId="35" xfId="0" applyFont="1" applyBorder="1" applyAlignment="1">
      <alignment horizontal="center" wrapText="1"/>
    </xf>
    <xf numFmtId="0" fontId="23" fillId="0" borderId="97" xfId="0" applyFont="1" applyBorder="1" applyAlignment="1">
      <alignment horizontal="center" wrapText="1"/>
    </xf>
    <xf numFmtId="1" fontId="0" fillId="22" borderId="98" xfId="0" applyNumberFormat="1" applyFill="1" applyBorder="1"/>
    <xf numFmtId="1" fontId="0" fillId="22" borderId="99" xfId="0" applyNumberFormat="1" applyFill="1" applyBorder="1"/>
    <xf numFmtId="1" fontId="0" fillId="22" borderId="100" xfId="0" applyNumberFormat="1" applyFill="1" applyBorder="1"/>
    <xf numFmtId="1" fontId="33" fillId="0" borderId="24" xfId="0" applyNumberFormat="1" applyFont="1" applyBorder="1"/>
    <xf numFmtId="1" fontId="0" fillId="0" borderId="13" xfId="0" applyNumberFormat="1" applyBorder="1"/>
    <xf numFmtId="1" fontId="0" fillId="0" borderId="14" xfId="0" applyNumberFormat="1" applyBorder="1"/>
    <xf numFmtId="1" fontId="63" fillId="0" borderId="0" xfId="5" applyNumberFormat="1" applyFont="1" applyFill="1" applyBorder="1" applyAlignment="1">
      <alignment horizontal="left" vertical="top"/>
    </xf>
    <xf numFmtId="9" fontId="23" fillId="0" borderId="0" xfId="5" applyNumberFormat="1" applyFont="1" applyFill="1" applyBorder="1" applyAlignment="1">
      <alignment horizontal="center" wrapText="1"/>
    </xf>
    <xf numFmtId="0" fontId="15" fillId="0" borderId="0" xfId="5" applyFont="1" applyFill="1" applyBorder="1" applyAlignment="1">
      <alignment horizontal="center" vertical="top"/>
    </xf>
    <xf numFmtId="0" fontId="15" fillId="0" borderId="19" xfId="5" applyFont="1" applyFill="1" applyBorder="1" applyAlignment="1">
      <alignment vertical="top"/>
    </xf>
    <xf numFmtId="0" fontId="15" fillId="0" borderId="19" xfId="5" applyFont="1" applyFill="1" applyBorder="1">
      <alignment vertical="top"/>
    </xf>
    <xf numFmtId="0" fontId="15" fillId="0" borderId="20" xfId="5" applyFont="1" applyFill="1" applyBorder="1">
      <alignment vertical="top"/>
    </xf>
    <xf numFmtId="0" fontId="15" fillId="0" borderId="21" xfId="5" applyFont="1" applyFill="1" applyBorder="1">
      <alignment vertical="top"/>
    </xf>
    <xf numFmtId="0" fontId="15" fillId="0" borderId="13" xfId="5" applyFont="1" applyFill="1" applyBorder="1" applyAlignment="1">
      <alignment horizontal="right" vertical="top"/>
    </xf>
    <xf numFmtId="0" fontId="15" fillId="0" borderId="21" xfId="5" applyFont="1" applyFill="1" applyBorder="1" applyAlignment="1">
      <alignment vertical="top" wrapText="1"/>
    </xf>
    <xf numFmtId="0" fontId="15" fillId="0" borderId="13" xfId="5" applyFont="1" applyFill="1" applyBorder="1" applyAlignment="1">
      <alignment vertical="top" wrapText="1"/>
    </xf>
    <xf numFmtId="0" fontId="15" fillId="0" borderId="14" xfId="5" applyFont="1" applyFill="1" applyBorder="1">
      <alignment vertical="top"/>
    </xf>
    <xf numFmtId="0" fontId="15" fillId="0" borderId="23" xfId="5" applyFont="1" applyFill="1" applyBorder="1">
      <alignment vertical="top"/>
    </xf>
    <xf numFmtId="0" fontId="15" fillId="0" borderId="24" xfId="5" applyFont="1" applyFill="1" applyBorder="1">
      <alignment vertical="top"/>
    </xf>
    <xf numFmtId="0" fontId="23" fillId="0" borderId="0" xfId="5" applyFont="1" applyFill="1" applyBorder="1" applyAlignment="1">
      <alignment horizontal="center" vertical="top"/>
    </xf>
    <xf numFmtId="0" fontId="23" fillId="0" borderId="38" xfId="0" applyFont="1" applyFill="1" applyBorder="1" applyAlignment="1">
      <alignment horizontal="center" wrapText="1"/>
    </xf>
    <xf numFmtId="0" fontId="15" fillId="0" borderId="29" xfId="5" applyFont="1" applyFill="1" applyBorder="1" applyAlignment="1">
      <alignment horizontal="left" vertical="top"/>
    </xf>
    <xf numFmtId="3" fontId="15" fillId="0" borderId="29" xfId="5" applyNumberFormat="1" applyFont="1" applyFill="1" applyBorder="1" applyAlignment="1">
      <alignment horizontal="left" vertical="top"/>
    </xf>
    <xf numFmtId="3" fontId="15" fillId="0" borderId="31" xfId="5" applyNumberFormat="1" applyFont="1" applyFill="1" applyBorder="1" applyAlignment="1">
      <alignment horizontal="left" vertical="top"/>
    </xf>
    <xf numFmtId="0" fontId="15" fillId="0" borderId="5" xfId="5" applyFont="1" applyFill="1" applyBorder="1" applyAlignment="1">
      <alignment horizontal="center" vertical="top"/>
    </xf>
    <xf numFmtId="0" fontId="100" fillId="0" borderId="0" xfId="5" applyFont="1" applyFill="1" applyBorder="1" applyAlignment="1">
      <alignment horizontal="center" vertical="top"/>
    </xf>
    <xf numFmtId="0" fontId="100" fillId="0" borderId="29" xfId="5" applyFont="1" applyFill="1" applyBorder="1" applyAlignment="1">
      <alignment horizontal="left" vertical="top"/>
    </xf>
    <xf numFmtId="0" fontId="30" fillId="0" borderId="19" xfId="0" applyFont="1" applyFill="1" applyBorder="1" applyAlignment="1">
      <alignment horizontal="left"/>
    </xf>
    <xf numFmtId="0" fontId="15" fillId="0" borderId="0" xfId="5" applyFont="1" applyFill="1" applyBorder="1" applyAlignment="1">
      <alignment horizontal="right" vertical="top"/>
    </xf>
    <xf numFmtId="0" fontId="15" fillId="0" borderId="13" xfId="5" applyFont="1" applyFill="1" applyBorder="1" applyAlignment="1">
      <alignment horizontal="left" vertical="top" wrapText="1"/>
    </xf>
    <xf numFmtId="0" fontId="23" fillId="0" borderId="39" xfId="0" applyFont="1" applyFill="1" applyBorder="1" applyAlignment="1">
      <alignment horizontal="center" wrapText="1"/>
    </xf>
    <xf numFmtId="0" fontId="23" fillId="0" borderId="37" xfId="0" applyFont="1" applyFill="1" applyBorder="1" applyAlignment="1">
      <alignment horizontal="left" wrapText="1"/>
    </xf>
    <xf numFmtId="2" fontId="101" fillId="0" borderId="15" xfId="0" applyNumberFormat="1" applyFont="1" applyFill="1" applyBorder="1" applyAlignment="1">
      <alignment horizontal="center" vertical="center"/>
    </xf>
    <xf numFmtId="169" fontId="101" fillId="0" borderId="15" xfId="0" applyNumberFormat="1" applyFont="1" applyFill="1" applyBorder="1" applyAlignment="1">
      <alignment horizontal="center" vertical="center"/>
    </xf>
    <xf numFmtId="0" fontId="100" fillId="0" borderId="0" xfId="5" applyFont="1" applyFill="1" applyBorder="1" applyAlignment="1">
      <alignment horizontal="right" vertical="top"/>
    </xf>
    <xf numFmtId="3" fontId="100" fillId="0" borderId="29" xfId="5" applyNumberFormat="1" applyFont="1" applyFill="1" applyBorder="1" applyAlignment="1">
      <alignment horizontal="left" vertical="top"/>
    </xf>
    <xf numFmtId="1" fontId="41" fillId="22" borderId="15" xfId="0" applyNumberFormat="1" applyFont="1" applyFill="1" applyBorder="1" applyAlignment="1">
      <alignment horizontal="center" vertical="center"/>
    </xf>
    <xf numFmtId="0" fontId="30" fillId="0" borderId="0" xfId="5" applyFont="1" applyFill="1" applyBorder="1" applyAlignment="1">
      <alignment horizontal="right" vertical="center" wrapText="1"/>
    </xf>
    <xf numFmtId="2" fontId="101" fillId="0" borderId="0" xfId="0" applyNumberFormat="1" applyFont="1" applyFill="1" applyBorder="1" applyAlignment="1">
      <alignment horizontal="center" vertical="center"/>
    </xf>
    <xf numFmtId="169" fontId="101" fillId="0" borderId="0" xfId="0" applyNumberFormat="1" applyFont="1" applyFill="1" applyBorder="1" applyAlignment="1">
      <alignment horizontal="center" vertical="center"/>
    </xf>
    <xf numFmtId="1" fontId="41" fillId="0" borderId="0" xfId="0" applyNumberFormat="1" applyFont="1" applyFill="1" applyBorder="1" applyAlignment="1">
      <alignment horizontal="center" vertical="center"/>
    </xf>
    <xf numFmtId="0" fontId="30" fillId="0" borderId="0" xfId="5" applyFont="1" applyFill="1" applyBorder="1" applyAlignment="1">
      <alignment horizontal="right" vertical="center"/>
    </xf>
    <xf numFmtId="2" fontId="15" fillId="0" borderId="30" xfId="5" applyNumberFormat="1" applyFont="1" applyFill="1" applyBorder="1" applyAlignment="1">
      <alignment horizontal="center" vertical="top"/>
    </xf>
    <xf numFmtId="2" fontId="100" fillId="0" borderId="30" xfId="5" applyNumberFormat="1" applyFont="1" applyFill="1" applyBorder="1" applyAlignment="1">
      <alignment horizontal="center" vertical="top" wrapText="1"/>
    </xf>
    <xf numFmtId="2" fontId="15" fillId="0" borderId="30" xfId="5" applyNumberFormat="1" applyFont="1" applyFill="1" applyBorder="1" applyAlignment="1">
      <alignment horizontal="center" vertical="top" wrapText="1"/>
    </xf>
    <xf numFmtId="2" fontId="100" fillId="0" borderId="30" xfId="5" applyNumberFormat="1" applyFont="1" applyFill="1" applyBorder="1" applyAlignment="1">
      <alignment horizontal="center" vertical="top"/>
    </xf>
    <xf numFmtId="2" fontId="15" fillId="0" borderId="32" xfId="5" applyNumberFormat="1" applyFont="1" applyFill="1" applyBorder="1" applyAlignment="1">
      <alignment horizontal="center" vertical="top"/>
    </xf>
    <xf numFmtId="2" fontId="15" fillId="0" borderId="0" xfId="5" applyNumberFormat="1" applyFont="1" applyFill="1" applyBorder="1" applyAlignment="1"/>
    <xf numFmtId="0" fontId="63" fillId="0" borderId="30" xfId="5" applyFont="1" applyFill="1" applyBorder="1" applyAlignment="1"/>
    <xf numFmtId="168" fontId="63" fillId="0" borderId="30" xfId="4" applyNumberFormat="1" applyFont="1" applyFill="1" applyBorder="1" applyAlignment="1">
      <alignment vertical="top"/>
    </xf>
    <xf numFmtId="175" fontId="15" fillId="0" borderId="0" xfId="5" applyNumberFormat="1" applyFont="1" applyFill="1">
      <alignment vertical="top"/>
    </xf>
    <xf numFmtId="0" fontId="63" fillId="0" borderId="29" xfId="5" applyFont="1" applyFill="1" applyBorder="1" applyAlignment="1">
      <alignment horizontal="left" vertical="top"/>
    </xf>
    <xf numFmtId="0" fontId="63" fillId="0" borderId="0" xfId="5" applyFont="1" applyFill="1" applyBorder="1" applyAlignment="1">
      <alignment horizontal="center" vertical="top"/>
    </xf>
    <xf numFmtId="2" fontId="63" fillId="0" borderId="30" xfId="5" applyNumberFormat="1" applyFont="1" applyFill="1" applyBorder="1" applyAlignment="1">
      <alignment horizontal="center" vertical="top"/>
    </xf>
    <xf numFmtId="0" fontId="15" fillId="0" borderId="29" xfId="0" applyFont="1" applyFill="1" applyBorder="1" applyAlignment="1">
      <alignment horizontal="left" vertical="center" wrapText="1"/>
    </xf>
    <xf numFmtId="0" fontId="15" fillId="0" borderId="0" xfId="0" applyFont="1" applyFill="1" applyBorder="1" applyAlignment="1">
      <alignment horizontal="center" wrapText="1"/>
    </xf>
    <xf numFmtId="2" fontId="15" fillId="0" borderId="30" xfId="0" applyNumberFormat="1" applyFont="1" applyFill="1" applyBorder="1" applyAlignment="1">
      <alignment horizontal="center" wrapText="1"/>
    </xf>
    <xf numFmtId="0" fontId="15" fillId="0" borderId="21" xfId="5" applyFont="1" applyFill="1" applyBorder="1" applyAlignment="1">
      <alignment horizontal="left" vertical="top" wrapText="1"/>
    </xf>
    <xf numFmtId="0" fontId="0" fillId="0" borderId="13" xfId="0" applyBorder="1" applyAlignment="1">
      <alignment horizontal="right" vertical="center"/>
    </xf>
    <xf numFmtId="0" fontId="89" fillId="6" borderId="86" xfId="0" applyFont="1" applyFill="1" applyBorder="1" applyAlignment="1" applyProtection="1">
      <alignment horizontal="center" vertical="center" wrapText="1"/>
      <protection hidden="1"/>
    </xf>
    <xf numFmtId="0" fontId="89" fillId="6" borderId="87" xfId="0" applyFont="1" applyFill="1" applyBorder="1" applyAlignment="1" applyProtection="1">
      <alignment horizontal="center" vertical="center" wrapText="1"/>
      <protection hidden="1"/>
    </xf>
    <xf numFmtId="0" fontId="102" fillId="0" borderId="0" xfId="5" applyFont="1" applyFill="1" applyBorder="1" applyAlignment="1">
      <alignment horizontal="left" vertical="top" wrapText="1"/>
    </xf>
    <xf numFmtId="0" fontId="15" fillId="0" borderId="13" xfId="0" applyFont="1" applyBorder="1" applyAlignment="1">
      <alignment vertical="center" wrapText="1"/>
    </xf>
    <xf numFmtId="0" fontId="23" fillId="0" borderId="0" xfId="5" applyFont="1" applyFill="1" applyBorder="1" applyAlignment="1">
      <alignment horizontal="right"/>
    </xf>
    <xf numFmtId="1" fontId="15" fillId="0" borderId="20" xfId="5" applyNumberFormat="1" applyFont="1" applyFill="1" applyBorder="1">
      <alignment vertical="top"/>
    </xf>
    <xf numFmtId="1" fontId="15" fillId="0" borderId="24" xfId="5" applyNumberFormat="1" applyFont="1" applyFill="1" applyBorder="1">
      <alignment vertical="top"/>
    </xf>
    <xf numFmtId="0" fontId="103" fillId="0" borderId="8" xfId="0" applyFont="1" applyFill="1" applyBorder="1" applyAlignment="1">
      <alignment horizontal="left"/>
    </xf>
    <xf numFmtId="0" fontId="15" fillId="0" borderId="101" xfId="0" applyFont="1" applyBorder="1" applyAlignment="1">
      <alignment wrapText="1"/>
    </xf>
    <xf numFmtId="0" fontId="15" fillId="0" borderId="33" xfId="0" applyFont="1" applyBorder="1" applyAlignment="1">
      <alignment wrapText="1"/>
    </xf>
    <xf numFmtId="0" fontId="15" fillId="0" borderId="33" xfId="0" applyFont="1" applyBorder="1" applyAlignment="1"/>
    <xf numFmtId="0" fontId="15" fillId="0" borderId="33" xfId="0" applyFont="1" applyBorder="1" applyAlignment="1">
      <alignment horizontal="center"/>
    </xf>
    <xf numFmtId="0" fontId="0" fillId="0" borderId="94" xfId="0" applyBorder="1" applyAlignment="1">
      <alignment wrapText="1"/>
    </xf>
    <xf numFmtId="0" fontId="15" fillId="0" borderId="5" xfId="0" applyFont="1" applyBorder="1" applyAlignment="1">
      <alignment wrapText="1"/>
    </xf>
    <xf numFmtId="0" fontId="0" fillId="0" borderId="0" xfId="0" applyBorder="1" applyAlignment="1">
      <alignment horizontal="center"/>
    </xf>
    <xf numFmtId="0" fontId="0" fillId="0" borderId="21" xfId="0" applyBorder="1" applyAlignment="1">
      <alignment horizontal="center"/>
    </xf>
    <xf numFmtId="0" fontId="15" fillId="0" borderId="5" xfId="0" applyFont="1" applyBorder="1" applyAlignment="1">
      <alignment horizontal="center" wrapText="1"/>
    </xf>
    <xf numFmtId="0" fontId="23" fillId="0" borderId="0" xfId="3" applyFont="1" applyFill="1" applyBorder="1" applyAlignment="1" applyProtection="1">
      <alignment horizontal="center" wrapText="1"/>
      <protection hidden="1"/>
    </xf>
    <xf numFmtId="0" fontId="23" fillId="0" borderId="0" xfId="5" applyFont="1" applyFill="1" applyBorder="1" applyAlignment="1">
      <alignment horizontal="center"/>
    </xf>
    <xf numFmtId="176" fontId="23" fillId="0" borderId="21" xfId="5" applyNumberFormat="1" applyFont="1" applyFill="1" applyBorder="1" applyAlignment="1">
      <alignment horizontal="center"/>
    </xf>
    <xf numFmtId="0" fontId="21" fillId="0" borderId="5" xfId="0" applyFont="1" applyBorder="1" applyAlignment="1">
      <alignment wrapText="1"/>
    </xf>
    <xf numFmtId="0" fontId="15" fillId="0" borderId="103" xfId="5" applyFont="1" applyFill="1" applyBorder="1">
      <alignment vertical="top"/>
    </xf>
    <xf numFmtId="1" fontId="15" fillId="0" borderId="103" xfId="5" applyNumberFormat="1" applyFont="1" applyFill="1" applyBorder="1">
      <alignment vertical="top"/>
    </xf>
    <xf numFmtId="0" fontId="15" fillId="0" borderId="103" xfId="5" applyFont="1" applyFill="1" applyBorder="1" applyAlignment="1">
      <alignment horizontal="left" vertical="top" wrapText="1"/>
    </xf>
    <xf numFmtId="2" fontId="15" fillId="0" borderId="103" xfId="5" applyNumberFormat="1" applyFont="1" applyFill="1" applyBorder="1">
      <alignment vertical="top"/>
    </xf>
    <xf numFmtId="14" fontId="0" fillId="0" borderId="103" xfId="0" applyNumberFormat="1" applyBorder="1"/>
    <xf numFmtId="1" fontId="0" fillId="0" borderId="103" xfId="0" applyNumberFormat="1" applyBorder="1"/>
    <xf numFmtId="0" fontId="0" fillId="0" borderId="103" xfId="0" applyBorder="1"/>
    <xf numFmtId="0" fontId="0" fillId="0" borderId="103" xfId="0" applyBorder="1" applyAlignment="1">
      <alignment horizontal="right"/>
    </xf>
    <xf numFmtId="14" fontId="15" fillId="0" borderId="103" xfId="5" applyNumberFormat="1" applyFont="1" applyFill="1" applyBorder="1">
      <alignment vertical="top"/>
    </xf>
    <xf numFmtId="37" fontId="23" fillId="0" borderId="0" xfId="6" applyFont="1" applyFill="1" applyBorder="1" applyAlignment="1">
      <alignment horizontal="right"/>
    </xf>
    <xf numFmtId="9" fontId="23" fillId="0" borderId="0" xfId="7" applyFont="1" applyFill="1" applyBorder="1" applyAlignment="1"/>
    <xf numFmtId="2" fontId="23" fillId="0" borderId="0" xfId="5" applyNumberFormat="1" applyFont="1" applyFill="1" applyBorder="1" applyAlignment="1"/>
    <xf numFmtId="2" fontId="15" fillId="0" borderId="0" xfId="5" applyNumberFormat="1" applyFont="1" applyFill="1" applyBorder="1" applyAlignment="1">
      <alignment horizontal="right"/>
    </xf>
    <xf numFmtId="0" fontId="15" fillId="0" borderId="0" xfId="5" applyFont="1" applyFill="1" applyBorder="1" applyAlignment="1">
      <alignment horizontal="right"/>
    </xf>
    <xf numFmtId="169" fontId="23" fillId="0" borderId="0" xfId="5" applyNumberFormat="1" applyFont="1" applyFill="1" applyBorder="1" applyAlignment="1"/>
    <xf numFmtId="37" fontId="23" fillId="0" borderId="0" xfId="6" applyFont="1" applyFill="1" applyBorder="1" applyAlignment="1"/>
    <xf numFmtId="2" fontId="104" fillId="0" borderId="33" xfId="0" applyNumberFormat="1" applyFont="1" applyFill="1" applyBorder="1" applyAlignment="1">
      <alignment horizontal="center"/>
    </xf>
    <xf numFmtId="2" fontId="104" fillId="0" borderId="102" xfId="0" applyNumberFormat="1" applyFont="1" applyFill="1" applyBorder="1" applyAlignment="1">
      <alignment horizontal="center"/>
    </xf>
    <xf numFmtId="2" fontId="104" fillId="0" borderId="0" xfId="0" applyNumberFormat="1" applyFont="1" applyFill="1" applyBorder="1" applyAlignment="1">
      <alignment horizontal="center"/>
    </xf>
    <xf numFmtId="2" fontId="104" fillId="0" borderId="21" xfId="0" applyNumberFormat="1" applyFont="1" applyFill="1" applyBorder="1" applyAlignment="1">
      <alignment horizontal="center"/>
    </xf>
    <xf numFmtId="1" fontId="41" fillId="22" borderId="5" xfId="4" applyNumberFormat="1" applyFont="1" applyFill="1" applyBorder="1" applyAlignment="1">
      <alignment horizontal="center" vertical="center"/>
    </xf>
    <xf numFmtId="1" fontId="41" fillId="22" borderId="95" xfId="4" applyNumberFormat="1" applyFont="1" applyFill="1" applyBorder="1" applyAlignment="1">
      <alignment horizontal="center" vertical="center"/>
    </xf>
    <xf numFmtId="0" fontId="52" fillId="0" borderId="0" xfId="5" applyFont="1" applyFill="1">
      <alignment vertical="top"/>
    </xf>
    <xf numFmtId="0" fontId="23" fillId="0" borderId="27" xfId="5" applyFont="1" applyFill="1" applyBorder="1" applyAlignment="1"/>
    <xf numFmtId="0" fontId="23" fillId="0" borderId="33" xfId="5" applyFont="1" applyFill="1" applyBorder="1" applyAlignment="1">
      <alignment horizontal="right"/>
    </xf>
    <xf numFmtId="0" fontId="58" fillId="0" borderId="33" xfId="5" applyFont="1" applyFill="1" applyBorder="1" applyAlignment="1">
      <alignment horizontal="center" wrapText="1"/>
    </xf>
    <xf numFmtId="1" fontId="23" fillId="0" borderId="29" xfId="5" applyNumberFormat="1" applyFont="1" applyFill="1" applyBorder="1" applyAlignment="1">
      <alignment horizontal="left"/>
    </xf>
    <xf numFmtId="0" fontId="23" fillId="0" borderId="29" xfId="5" applyFont="1" applyFill="1" applyBorder="1" applyAlignment="1">
      <alignment horizontal="left"/>
    </xf>
    <xf numFmtId="2" fontId="15" fillId="0" borderId="30" xfId="5" applyNumberFormat="1" applyFont="1" applyFill="1" applyBorder="1" applyAlignment="1"/>
    <xf numFmtId="1" fontId="52" fillId="0" borderId="29" xfId="5" applyNumberFormat="1" applyFont="1" applyFill="1" applyBorder="1">
      <alignment vertical="top"/>
    </xf>
    <xf numFmtId="1" fontId="52" fillId="0" borderId="31" xfId="5" applyNumberFormat="1" applyFont="1" applyFill="1" applyBorder="1">
      <alignment vertical="top"/>
    </xf>
    <xf numFmtId="1" fontId="63" fillId="0" borderId="5" xfId="5" applyNumberFormat="1" applyFont="1" applyFill="1" applyBorder="1" applyAlignment="1">
      <alignment horizontal="right" vertical="top"/>
    </xf>
    <xf numFmtId="168" fontId="63" fillId="0" borderId="5" xfId="4" applyNumberFormat="1" applyFont="1" applyFill="1" applyBorder="1" applyAlignment="1">
      <alignment vertical="top"/>
    </xf>
    <xf numFmtId="168" fontId="63" fillId="0" borderId="32" xfId="4" applyNumberFormat="1" applyFont="1" applyFill="1" applyBorder="1" applyAlignment="1">
      <alignment vertical="top"/>
    </xf>
    <xf numFmtId="1" fontId="52" fillId="0" borderId="27" xfId="5" applyNumberFormat="1" applyFont="1" applyFill="1" applyBorder="1">
      <alignment vertical="top"/>
    </xf>
    <xf numFmtId="1" fontId="52" fillId="0" borderId="33" xfId="5" applyNumberFormat="1" applyFont="1" applyFill="1" applyBorder="1" applyAlignment="1">
      <alignment horizontal="right" vertical="top"/>
    </xf>
    <xf numFmtId="168" fontId="52" fillId="0" borderId="33" xfId="4" applyNumberFormat="1" applyFont="1" applyFill="1" applyBorder="1" applyAlignment="1">
      <alignment vertical="top"/>
    </xf>
    <xf numFmtId="168" fontId="63" fillId="0" borderId="33" xfId="4" applyNumberFormat="1" applyFont="1" applyFill="1" applyBorder="1" applyAlignment="1">
      <alignment vertical="top"/>
    </xf>
    <xf numFmtId="168" fontId="63" fillId="0" borderId="28" xfId="4" applyNumberFormat="1" applyFont="1" applyFill="1" applyBorder="1" applyAlignment="1">
      <alignment vertical="top"/>
    </xf>
    <xf numFmtId="0" fontId="30" fillId="0" borderId="8" xfId="5" applyFont="1" applyFill="1" applyBorder="1">
      <alignment vertical="top"/>
    </xf>
    <xf numFmtId="1" fontId="15" fillId="0" borderId="21" xfId="5" applyNumberFormat="1" applyFont="1" applyFill="1" applyBorder="1">
      <alignment vertical="top"/>
    </xf>
    <xf numFmtId="0" fontId="23" fillId="0" borderId="0" xfId="5" applyFont="1" applyFill="1" applyAlignment="1">
      <alignment vertical="top"/>
    </xf>
    <xf numFmtId="0" fontId="23" fillId="0" borderId="15" xfId="5" applyFont="1" applyFill="1" applyBorder="1" applyAlignment="1">
      <alignment horizontal="center" wrapText="1"/>
    </xf>
    <xf numFmtId="0" fontId="30" fillId="23" borderId="0" xfId="3" applyFont="1" applyFill="1" applyBorder="1" applyAlignment="1" applyProtection="1">
      <alignment horizontal="center" vertical="center" wrapText="1"/>
      <protection hidden="1"/>
    </xf>
    <xf numFmtId="0" fontId="30" fillId="13" borderId="57" xfId="3" applyFont="1" applyFill="1" applyBorder="1" applyAlignment="1" applyProtection="1">
      <alignment horizontal="center" vertical="center" wrapText="1"/>
      <protection hidden="1"/>
    </xf>
    <xf numFmtId="0" fontId="30" fillId="25" borderId="22" xfId="3" applyFont="1" applyFill="1" applyBorder="1" applyAlignment="1" applyProtection="1">
      <alignment horizontal="center" vertical="center" wrapText="1"/>
      <protection hidden="1"/>
    </xf>
    <xf numFmtId="0" fontId="30" fillId="27" borderId="22" xfId="3" applyFont="1" applyFill="1" applyBorder="1" applyAlignment="1" applyProtection="1">
      <alignment horizontal="center" vertical="center" wrapText="1"/>
      <protection hidden="1"/>
    </xf>
    <xf numFmtId="0" fontId="15" fillId="24" borderId="0" xfId="5" applyFont="1" applyFill="1" applyBorder="1">
      <alignment vertical="top"/>
    </xf>
    <xf numFmtId="1" fontId="15" fillId="24" borderId="0" xfId="5" applyNumberFormat="1" applyFont="1" applyFill="1" applyBorder="1">
      <alignment vertical="top"/>
    </xf>
    <xf numFmtId="0" fontId="15" fillId="24" borderId="0" xfId="5" applyFont="1" applyFill="1" applyBorder="1" applyAlignment="1">
      <alignment horizontal="left" vertical="top" wrapText="1"/>
    </xf>
    <xf numFmtId="2" fontId="15" fillId="24" borderId="0" xfId="5" applyNumberFormat="1" applyFont="1" applyFill="1" applyBorder="1">
      <alignment vertical="top"/>
    </xf>
    <xf numFmtId="14" fontId="0" fillId="24" borderId="0" xfId="0" applyNumberFormat="1" applyFill="1" applyBorder="1"/>
    <xf numFmtId="1" fontId="0" fillId="24" borderId="0" xfId="0" applyNumberFormat="1" applyFill="1" applyBorder="1"/>
    <xf numFmtId="0" fontId="0" fillId="24" borderId="0" xfId="0" applyFill="1" applyBorder="1"/>
    <xf numFmtId="0" fontId="0" fillId="24" borderId="0" xfId="0" applyFill="1" applyBorder="1" applyAlignment="1">
      <alignment horizontal="right"/>
    </xf>
    <xf numFmtId="14" fontId="15" fillId="24" borderId="0" xfId="5" applyNumberFormat="1" applyFont="1" applyFill="1" applyBorder="1">
      <alignment vertical="top"/>
    </xf>
    <xf numFmtId="0" fontId="15" fillId="24" borderId="103" xfId="5" applyFont="1" applyFill="1" applyBorder="1">
      <alignment vertical="top"/>
    </xf>
    <xf numFmtId="1" fontId="52" fillId="24" borderId="103" xfId="5" applyNumberFormat="1" applyFont="1" applyFill="1" applyBorder="1">
      <alignment vertical="top"/>
    </xf>
    <xf numFmtId="1" fontId="53" fillId="24" borderId="103" xfId="6" applyNumberFormat="1" applyFont="1" applyFill="1" applyBorder="1" applyAlignment="1">
      <alignment vertical="top"/>
    </xf>
    <xf numFmtId="0" fontId="63" fillId="24" borderId="103" xfId="5" applyFont="1" applyFill="1" applyBorder="1">
      <alignment vertical="top"/>
    </xf>
    <xf numFmtId="169" fontId="15" fillId="24" borderId="103" xfId="5" applyNumberFormat="1" applyFont="1" applyFill="1" applyBorder="1">
      <alignment vertical="top"/>
    </xf>
    <xf numFmtId="169" fontId="15" fillId="24" borderId="105" xfId="5" applyNumberFormat="1" applyFont="1" applyFill="1" applyBorder="1">
      <alignment vertical="top"/>
    </xf>
    <xf numFmtId="14" fontId="0" fillId="24" borderId="103" xfId="0" applyNumberFormat="1" applyFill="1" applyBorder="1"/>
    <xf numFmtId="1" fontId="0" fillId="24" borderId="103" xfId="0" applyNumberFormat="1" applyFill="1" applyBorder="1"/>
    <xf numFmtId="0" fontId="0" fillId="24" borderId="103" xfId="0" applyFill="1" applyBorder="1"/>
    <xf numFmtId="0" fontId="0" fillId="24" borderId="103" xfId="0" applyFill="1" applyBorder="1" applyAlignment="1">
      <alignment horizontal="right"/>
    </xf>
    <xf numFmtId="14" fontId="15" fillId="24" borderId="103" xfId="5" applyNumberFormat="1" applyFont="1" applyFill="1" applyBorder="1">
      <alignment vertical="top"/>
    </xf>
    <xf numFmtId="0" fontId="0" fillId="0" borderId="72" xfId="0" applyBorder="1" applyAlignment="1">
      <alignment horizontal="right" vertical="center"/>
    </xf>
    <xf numFmtId="0" fontId="66" fillId="0" borderId="0" xfId="0" applyFont="1" applyFill="1" applyBorder="1" applyAlignment="1" applyProtection="1">
      <alignment horizontal="left" vertical="top" wrapText="1"/>
      <protection hidden="1"/>
    </xf>
    <xf numFmtId="0" fontId="15" fillId="0" borderId="0" xfId="0" applyFont="1" applyFill="1" applyAlignment="1">
      <alignment horizontal="left" wrapText="1"/>
    </xf>
    <xf numFmtId="0" fontId="15" fillId="0" borderId="0" xfId="0" applyFont="1" applyFill="1" applyAlignment="1">
      <alignment horizontal="left" vertical="top" wrapText="1"/>
    </xf>
    <xf numFmtId="0" fontId="30" fillId="28" borderId="57" xfId="0" applyFont="1" applyFill="1" applyBorder="1" applyAlignment="1" applyProtection="1">
      <alignment horizontal="left" vertical="center"/>
      <protection hidden="1"/>
    </xf>
    <xf numFmtId="0" fontId="0" fillId="28" borderId="56" xfId="0" applyFill="1" applyBorder="1" applyAlignment="1" applyProtection="1">
      <alignment horizontal="left" vertical="center" wrapText="1"/>
      <protection hidden="1"/>
    </xf>
    <xf numFmtId="0" fontId="23" fillId="28" borderId="56" xfId="0" applyFont="1" applyFill="1" applyBorder="1" applyProtection="1">
      <protection hidden="1"/>
    </xf>
    <xf numFmtId="0" fontId="23" fillId="28" borderId="55" xfId="0" applyFont="1" applyFill="1" applyBorder="1" applyProtection="1">
      <protection hidden="1"/>
    </xf>
    <xf numFmtId="1" fontId="30" fillId="28" borderId="57" xfId="0" applyNumberFormat="1" applyFont="1" applyFill="1" applyBorder="1" applyAlignment="1"/>
    <xf numFmtId="0" fontId="0" fillId="28" borderId="56" xfId="0" applyFill="1" applyBorder="1" applyAlignment="1"/>
    <xf numFmtId="0" fontId="0" fillId="28" borderId="55" xfId="0" applyFill="1" applyBorder="1" applyAlignment="1"/>
    <xf numFmtId="0" fontId="0" fillId="28" borderId="55" xfId="0" applyFill="1" applyBorder="1" applyProtection="1">
      <protection hidden="1"/>
    </xf>
    <xf numFmtId="0" fontId="23" fillId="29" borderId="8" xfId="0" applyFont="1" applyFill="1" applyBorder="1"/>
    <xf numFmtId="0" fontId="23" fillId="29" borderId="19" xfId="0" applyFont="1" applyFill="1" applyBorder="1" applyAlignment="1">
      <alignment horizontal="right"/>
    </xf>
    <xf numFmtId="0" fontId="23" fillId="29" borderId="20" xfId="0" applyFont="1" applyFill="1" applyBorder="1"/>
    <xf numFmtId="0" fontId="23" fillId="29" borderId="13" xfId="0" applyFont="1" applyFill="1" applyBorder="1"/>
    <xf numFmtId="0" fontId="23" fillId="29" borderId="0" xfId="0" applyFont="1" applyFill="1" applyBorder="1" applyAlignment="1">
      <alignment horizontal="right"/>
    </xf>
    <xf numFmtId="0" fontId="23" fillId="29" borderId="21" xfId="0" applyFont="1" applyFill="1" applyBorder="1"/>
    <xf numFmtId="0" fontId="52" fillId="29" borderId="0" xfId="0" applyFont="1" applyFill="1" applyBorder="1" applyAlignment="1">
      <alignment horizontal="right"/>
    </xf>
    <xf numFmtId="0" fontId="52" fillId="29" borderId="21" xfId="0" applyFont="1" applyFill="1" applyBorder="1"/>
    <xf numFmtId="0" fontId="23" fillId="29" borderId="14" xfId="0" applyFont="1" applyFill="1" applyBorder="1"/>
    <xf numFmtId="0" fontId="52" fillId="29" borderId="23" xfId="0" applyFont="1" applyFill="1" applyBorder="1" applyAlignment="1">
      <alignment horizontal="right"/>
    </xf>
    <xf numFmtId="9" fontId="52" fillId="29" borderId="24" xfId="2" applyFont="1" applyFill="1" applyBorder="1"/>
    <xf numFmtId="0" fontId="23" fillId="29" borderId="13" xfId="0" applyFont="1" applyFill="1" applyBorder="1" applyAlignment="1">
      <alignment horizontal="right"/>
    </xf>
    <xf numFmtId="14" fontId="23" fillId="29" borderId="21" xfId="0" applyNumberFormat="1" applyFont="1" applyFill="1" applyBorder="1"/>
    <xf numFmtId="0" fontId="23" fillId="29" borderId="14" xfId="0" applyFont="1" applyFill="1" applyBorder="1" applyAlignment="1">
      <alignment horizontal="right"/>
    </xf>
    <xf numFmtId="0" fontId="23" fillId="29" borderId="24" xfId="0" applyFont="1" applyFill="1" applyBorder="1"/>
    <xf numFmtId="0" fontId="0" fillId="29" borderId="8" xfId="0" applyFill="1" applyBorder="1"/>
    <xf numFmtId="1" fontId="23" fillId="29" borderId="19" xfId="0" applyNumberFormat="1" applyFont="1" applyFill="1" applyBorder="1" applyAlignment="1">
      <alignment horizontal="right"/>
    </xf>
    <xf numFmtId="1" fontId="23" fillId="29" borderId="20" xfId="0" applyNumberFormat="1" applyFont="1" applyFill="1" applyBorder="1"/>
    <xf numFmtId="0" fontId="0" fillId="29" borderId="13" xfId="0" applyFill="1" applyBorder="1"/>
    <xf numFmtId="1" fontId="23" fillId="29" borderId="0" xfId="0" applyNumberFormat="1" applyFont="1" applyFill="1" applyBorder="1" applyAlignment="1">
      <alignment horizontal="right"/>
    </xf>
    <xf numFmtId="1" fontId="23" fillId="29" borderId="21" xfId="0" applyNumberFormat="1" applyFont="1" applyFill="1" applyBorder="1"/>
    <xf numFmtId="1" fontId="52" fillId="29" borderId="21" xfId="0" applyNumberFormat="1" applyFont="1" applyFill="1" applyBorder="1"/>
    <xf numFmtId="0" fontId="0" fillId="29" borderId="14" xfId="0" applyFill="1" applyBorder="1"/>
    <xf numFmtId="0" fontId="0" fillId="29" borderId="8" xfId="0" applyFill="1" applyBorder="1" applyAlignment="1">
      <alignment vertical="center"/>
    </xf>
    <xf numFmtId="1" fontId="23" fillId="29" borderId="19" xfId="0" applyNumberFormat="1" applyFont="1" applyFill="1" applyBorder="1" applyAlignment="1">
      <alignment horizontal="right" vertical="center"/>
    </xf>
    <xf numFmtId="1" fontId="23" fillId="29" borderId="20" xfId="0" applyNumberFormat="1" applyFont="1" applyFill="1" applyBorder="1" applyAlignment="1">
      <alignment vertical="center"/>
    </xf>
    <xf numFmtId="1" fontId="58" fillId="29" borderId="8" xfId="0" applyNumberFormat="1" applyFont="1" applyFill="1" applyBorder="1" applyAlignment="1">
      <alignment horizontal="center"/>
    </xf>
    <xf numFmtId="1" fontId="58" fillId="29" borderId="20" xfId="0" applyNumberFormat="1" applyFont="1" applyFill="1" applyBorder="1" applyAlignment="1">
      <alignment horizontal="center"/>
    </xf>
    <xf numFmtId="0" fontId="0" fillId="29" borderId="13" xfId="0" applyFill="1" applyBorder="1" applyAlignment="1">
      <alignment vertical="center"/>
    </xf>
    <xf numFmtId="1" fontId="23" fillId="29" borderId="0" xfId="0" applyNumberFormat="1" applyFont="1" applyFill="1" applyBorder="1" applyAlignment="1">
      <alignment horizontal="right" vertical="center"/>
    </xf>
    <xf numFmtId="1" fontId="23" fillId="29" borderId="21" xfId="0" applyNumberFormat="1" applyFont="1" applyFill="1" applyBorder="1" applyAlignment="1">
      <alignment vertical="center"/>
    </xf>
    <xf numFmtId="1" fontId="23" fillId="29" borderId="13" xfId="0" applyNumberFormat="1" applyFont="1" applyFill="1" applyBorder="1" applyAlignment="1">
      <alignment horizontal="right" vertical="center"/>
    </xf>
    <xf numFmtId="1" fontId="23" fillId="29" borderId="21" xfId="0" applyNumberFormat="1" applyFont="1" applyFill="1" applyBorder="1" applyAlignment="1">
      <alignment horizontal="right" vertical="center"/>
    </xf>
    <xf numFmtId="0" fontId="52" fillId="29" borderId="0" xfId="0" applyFont="1" applyFill="1" applyBorder="1" applyAlignment="1">
      <alignment horizontal="right" vertical="center"/>
    </xf>
    <xf numFmtId="1" fontId="52" fillId="29" borderId="21" xfId="0" applyNumberFormat="1" applyFont="1" applyFill="1" applyBorder="1" applyAlignment="1">
      <alignment vertical="center"/>
    </xf>
    <xf numFmtId="14" fontId="23" fillId="29" borderId="21" xfId="0" applyNumberFormat="1" applyFont="1" applyFill="1" applyBorder="1" applyAlignment="1">
      <alignment horizontal="right" vertical="center"/>
    </xf>
    <xf numFmtId="0" fontId="0" fillId="29" borderId="14" xfId="0" applyFill="1" applyBorder="1" applyAlignment="1">
      <alignment vertical="center"/>
    </xf>
    <xf numFmtId="0" fontId="52" fillId="29" borderId="23" xfId="0" applyFont="1" applyFill="1" applyBorder="1" applyAlignment="1">
      <alignment horizontal="right" vertical="center"/>
    </xf>
    <xf numFmtId="9" fontId="52" fillId="29" borderId="24" xfId="2" applyFont="1" applyFill="1" applyBorder="1" applyAlignment="1">
      <alignment vertical="center"/>
    </xf>
    <xf numFmtId="1" fontId="23" fillId="29" borderId="14" xfId="0" applyNumberFormat="1" applyFont="1" applyFill="1" applyBorder="1" applyAlignment="1">
      <alignment horizontal="right" vertical="center"/>
    </xf>
    <xf numFmtId="1" fontId="23" fillId="29" borderId="24" xfId="0" applyNumberFormat="1" applyFont="1" applyFill="1" applyBorder="1" applyAlignment="1">
      <alignment horizontal="right" vertical="center"/>
    </xf>
    <xf numFmtId="168" fontId="23" fillId="29" borderId="19" xfId="4" applyNumberFormat="1" applyFont="1" applyFill="1" applyBorder="1" applyAlignment="1">
      <alignment horizontal="left"/>
    </xf>
    <xf numFmtId="0" fontId="52" fillId="29" borderId="19" xfId="0" applyFont="1" applyFill="1" applyBorder="1" applyAlignment="1">
      <alignment horizontal="right"/>
    </xf>
    <xf numFmtId="168" fontId="52" fillId="29" borderId="20" xfId="4" applyNumberFormat="1" applyFont="1" applyFill="1" applyBorder="1"/>
    <xf numFmtId="168" fontId="23" fillId="29" borderId="0" xfId="4" applyNumberFormat="1" applyFont="1" applyFill="1" applyBorder="1" applyAlignment="1">
      <alignment horizontal="right"/>
    </xf>
    <xf numFmtId="9" fontId="52" fillId="29" borderId="21" xfId="2" applyNumberFormat="1" applyFont="1" applyFill="1" applyBorder="1"/>
    <xf numFmtId="0" fontId="15" fillId="29" borderId="57" xfId="0" applyFont="1" applyFill="1" applyBorder="1"/>
    <xf numFmtId="1" fontId="15" fillId="29" borderId="56" xfId="0" applyNumberFormat="1" applyFont="1" applyFill="1" applyBorder="1" applyAlignment="1">
      <alignment horizontal="right"/>
    </xf>
    <xf numFmtId="168" fontId="15" fillId="29" borderId="56" xfId="4" applyNumberFormat="1" applyFont="1" applyFill="1" applyBorder="1" applyAlignment="1">
      <alignment horizontal="left"/>
    </xf>
    <xf numFmtId="0" fontId="63" fillId="29" borderId="56" xfId="0" applyFont="1" applyFill="1" applyBorder="1"/>
    <xf numFmtId="0" fontId="63" fillId="29" borderId="56" xfId="0" applyFont="1" applyFill="1" applyBorder="1" applyAlignment="1">
      <alignment horizontal="right"/>
    </xf>
    <xf numFmtId="9" fontId="63" fillId="29" borderId="55" xfId="2" applyFont="1" applyFill="1" applyBorder="1"/>
    <xf numFmtId="0" fontId="51" fillId="0" borderId="29" xfId="3" applyFont="1" applyFill="1" applyBorder="1" applyAlignment="1" applyProtection="1">
      <alignment horizontal="center" vertical="center" wrapText="1"/>
      <protection hidden="1"/>
    </xf>
    <xf numFmtId="0" fontId="15" fillId="0" borderId="0" xfId="0" applyFont="1" applyAlignment="1">
      <alignment horizontal="left" wrapText="1"/>
    </xf>
    <xf numFmtId="0" fontId="15" fillId="0" borderId="0" xfId="0" applyFont="1" applyBorder="1" applyAlignment="1">
      <alignment horizontal="left" vertical="top"/>
    </xf>
    <xf numFmtId="0" fontId="15" fillId="0" borderId="0" xfId="0" applyFont="1" applyFill="1" applyAlignment="1">
      <alignment vertical="top" wrapText="1"/>
    </xf>
    <xf numFmtId="169" fontId="0" fillId="0" borderId="0" xfId="0" applyNumberFormat="1" applyFill="1"/>
    <xf numFmtId="169" fontId="0" fillId="0" borderId="0" xfId="0" applyNumberFormat="1" applyProtection="1"/>
    <xf numFmtId="0" fontId="15" fillId="0" borderId="0" xfId="0" applyFont="1" applyFill="1" applyAlignment="1">
      <alignment horizontal="left" vertical="top" wrapText="1"/>
    </xf>
    <xf numFmtId="0" fontId="30" fillId="0" borderId="0" xfId="0" applyFont="1" applyFill="1" applyBorder="1" applyAlignment="1" applyProtection="1">
      <alignment horizontal="center" vertical="center" wrapText="1"/>
      <protection hidden="1"/>
    </xf>
    <xf numFmtId="0" fontId="15" fillId="11" borderId="22" xfId="0" applyFont="1" applyFill="1" applyBorder="1" applyAlignment="1">
      <alignment horizontal="center" wrapText="1"/>
    </xf>
    <xf numFmtId="0" fontId="15" fillId="11" borderId="0" xfId="0" applyFont="1" applyFill="1" applyBorder="1" applyAlignment="1">
      <alignment horizontal="center" wrapText="1"/>
    </xf>
    <xf numFmtId="0" fontId="15" fillId="0" borderId="13" xfId="0" applyFont="1" applyFill="1" applyBorder="1" applyAlignment="1" applyProtection="1">
      <alignment horizontal="left" vertical="center" wrapText="1"/>
      <protection hidden="1"/>
    </xf>
    <xf numFmtId="0" fontId="15" fillId="0" borderId="0" xfId="0" applyFont="1" applyFill="1" applyBorder="1" applyAlignment="1" applyProtection="1">
      <alignment horizontal="left" vertical="center" wrapText="1"/>
      <protection hidden="1"/>
    </xf>
    <xf numFmtId="0" fontId="15" fillId="0" borderId="21" xfId="0" applyFont="1" applyFill="1" applyBorder="1" applyAlignment="1" applyProtection="1">
      <alignment horizontal="left" vertical="center" wrapText="1"/>
      <protection hidden="1"/>
    </xf>
    <xf numFmtId="0" fontId="23" fillId="0" borderId="0" xfId="0" applyFont="1" applyBorder="1" applyAlignment="1" applyProtection="1">
      <alignment horizontal="left" vertical="center" wrapText="1"/>
      <protection hidden="1"/>
    </xf>
    <xf numFmtId="0" fontId="23" fillId="0" borderId="13" xfId="0" applyFont="1" applyFill="1" applyBorder="1" applyAlignment="1">
      <alignment horizontal="center" vertical="center"/>
    </xf>
    <xf numFmtId="0" fontId="63" fillId="11" borderId="0" xfId="0" applyFont="1" applyFill="1" applyAlignment="1">
      <alignment horizontal="center" wrapText="1"/>
    </xf>
    <xf numFmtId="0" fontId="15" fillId="0" borderId="0" xfId="0" applyFont="1" applyBorder="1" applyAlignment="1">
      <alignment horizontal="right"/>
    </xf>
    <xf numFmtId="0" fontId="15" fillId="6" borderId="84" xfId="0" applyFont="1" applyFill="1" applyBorder="1" applyAlignment="1">
      <alignment horizontal="right" wrapText="1"/>
    </xf>
    <xf numFmtId="2" fontId="0" fillId="0" borderId="55" xfId="2" applyNumberFormat="1" applyFont="1" applyBorder="1" applyAlignment="1">
      <alignment horizontal="center"/>
    </xf>
    <xf numFmtId="0" fontId="95" fillId="0" borderId="23" xfId="0" applyFont="1" applyBorder="1" applyAlignment="1" applyProtection="1">
      <alignment horizontal="left" vertical="top" wrapText="1"/>
      <protection hidden="1"/>
    </xf>
    <xf numFmtId="0" fontId="15" fillId="0" borderId="0" xfId="0" applyFont="1" applyBorder="1" applyAlignment="1">
      <alignment horizontal="right" vertical="center"/>
    </xf>
    <xf numFmtId="0" fontId="15" fillId="0" borderId="0" xfId="0" applyFont="1" applyFill="1" applyBorder="1" applyAlignment="1">
      <alignment horizontal="right"/>
    </xf>
    <xf numFmtId="0" fontId="15" fillId="0" borderId="0" xfId="0" applyFont="1" applyFill="1" applyAlignment="1">
      <alignment horizontal="left" vertical="top" wrapText="1"/>
    </xf>
    <xf numFmtId="0" fontId="15" fillId="0" borderId="22" xfId="0" applyFont="1" applyFill="1" applyBorder="1" applyAlignment="1">
      <alignment horizontal="center" wrapText="1"/>
    </xf>
    <xf numFmtId="0" fontId="63" fillId="11" borderId="57" xfId="0" applyFont="1" applyFill="1" applyBorder="1" applyAlignment="1">
      <alignment horizontal="center" wrapText="1"/>
    </xf>
    <xf numFmtId="0" fontId="63" fillId="0" borderId="56" xfId="0" applyFont="1" applyBorder="1" applyAlignment="1">
      <alignment horizontal="center" wrapText="1"/>
    </xf>
    <xf numFmtId="0" fontId="63" fillId="11" borderId="55" xfId="0" applyFont="1" applyFill="1" applyBorder="1" applyAlignment="1">
      <alignment horizontal="center" wrapText="1"/>
    </xf>
    <xf numFmtId="0" fontId="0" fillId="0" borderId="66" xfId="0" applyBorder="1"/>
    <xf numFmtId="0" fontId="15" fillId="0" borderId="66" xfId="0" applyFont="1" applyFill="1" applyBorder="1"/>
    <xf numFmtId="0" fontId="15" fillId="0" borderId="57" xfId="0" applyFont="1" applyFill="1" applyBorder="1" applyAlignment="1">
      <alignment horizontal="center" wrapText="1"/>
    </xf>
    <xf numFmtId="0" fontId="15" fillId="0" borderId="56" xfId="0" applyFont="1" applyFill="1" applyBorder="1" applyAlignment="1">
      <alignment horizontal="center" wrapText="1"/>
    </xf>
    <xf numFmtId="0" fontId="15" fillId="0" borderId="55" xfId="0" applyFont="1" applyFill="1" applyBorder="1" applyAlignment="1">
      <alignment horizontal="center" wrapText="1"/>
    </xf>
    <xf numFmtId="0" fontId="15" fillId="0" borderId="0" xfId="0" applyFont="1" applyFill="1" applyAlignment="1">
      <alignment horizontal="right"/>
    </xf>
    <xf numFmtId="2" fontId="15" fillId="0" borderId="0" xfId="0" applyNumberFormat="1" applyFont="1" applyFill="1"/>
    <xf numFmtId="0" fontId="15" fillId="0" borderId="79" xfId="0" applyFont="1" applyFill="1" applyBorder="1"/>
    <xf numFmtId="0" fontId="40" fillId="0" borderId="0" xfId="0" applyFont="1" applyAlignment="1">
      <alignment horizontal="center"/>
    </xf>
    <xf numFmtId="175" fontId="15" fillId="0" borderId="0" xfId="5" applyNumberFormat="1" applyFont="1" applyFill="1" applyBorder="1">
      <alignment vertical="top"/>
    </xf>
    <xf numFmtId="37" fontId="54" fillId="0" borderId="5" xfId="6" applyFont="1" applyFill="1" applyBorder="1" applyAlignment="1">
      <alignment vertical="top"/>
    </xf>
    <xf numFmtId="2" fontId="15" fillId="0" borderId="31" xfId="5" applyNumberFormat="1" applyFont="1" applyFill="1" applyBorder="1">
      <alignment vertical="top"/>
    </xf>
    <xf numFmtId="0" fontId="52" fillId="0" borderId="0" xfId="5" applyFont="1" applyFill="1" applyAlignment="1">
      <alignment vertical="top" wrapText="1"/>
    </xf>
    <xf numFmtId="0" fontId="62" fillId="0" borderId="0" xfId="0" applyFont="1" applyBorder="1" applyAlignment="1">
      <alignment horizontal="center"/>
    </xf>
    <xf numFmtId="0" fontId="15" fillId="0" borderId="0" xfId="0" applyFont="1" applyAlignment="1">
      <alignment horizontal="left" vertical="top" wrapText="1"/>
    </xf>
    <xf numFmtId="169" fontId="15" fillId="0" borderId="104" xfId="5" applyNumberFormat="1" applyFont="1" applyFill="1" applyBorder="1">
      <alignment vertical="top"/>
    </xf>
    <xf numFmtId="0" fontId="58" fillId="0" borderId="0" xfId="0" applyFont="1" applyFill="1" applyBorder="1" applyAlignment="1" applyProtection="1">
      <alignment horizontal="center" wrapText="1"/>
      <protection hidden="1"/>
    </xf>
    <xf numFmtId="0" fontId="0" fillId="0" borderId="13" xfId="0" applyBorder="1" applyAlignment="1">
      <alignment horizontal="left" vertical="top" wrapText="1"/>
    </xf>
    <xf numFmtId="0" fontId="0" fillId="0" borderId="0" xfId="0" applyBorder="1" applyAlignment="1">
      <alignment horizontal="left" vertical="top" wrapText="1"/>
    </xf>
    <xf numFmtId="0" fontId="0" fillId="0" borderId="21" xfId="0" applyBorder="1" applyAlignment="1">
      <alignment horizontal="left" vertical="top" wrapText="1"/>
    </xf>
    <xf numFmtId="0" fontId="15" fillId="0" borderId="13" xfId="0" applyFont="1" applyBorder="1" applyAlignment="1">
      <alignment horizontal="left" vertical="top" wrapText="1"/>
    </xf>
    <xf numFmtId="0" fontId="15" fillId="0" borderId="0" xfId="0" applyFont="1" applyBorder="1" applyAlignment="1">
      <alignment horizontal="left" vertical="top" wrapText="1"/>
    </xf>
    <xf numFmtId="0" fontId="15" fillId="0" borderId="21" xfId="0" applyFont="1" applyBorder="1" applyAlignment="1">
      <alignment horizontal="left" vertical="top" wrapText="1"/>
    </xf>
    <xf numFmtId="0" fontId="15" fillId="0" borderId="0" xfId="0" applyFont="1" applyAlignment="1">
      <alignment horizontal="left" vertical="top" wrapText="1"/>
    </xf>
    <xf numFmtId="0" fontId="0" fillId="0" borderId="0" xfId="0" applyBorder="1" applyAlignment="1">
      <alignment horizontal="left" vertical="top" wrapText="1"/>
    </xf>
    <xf numFmtId="0" fontId="15" fillId="0" borderId="13" xfId="0" applyFont="1" applyBorder="1" applyAlignment="1">
      <alignment horizontal="left" vertical="top" wrapText="1"/>
    </xf>
    <xf numFmtId="0" fontId="15" fillId="0" borderId="0" xfId="0" applyFont="1" applyBorder="1" applyAlignment="1">
      <alignment horizontal="left" vertical="top" wrapText="1"/>
    </xf>
    <xf numFmtId="0" fontId="15" fillId="0" borderId="21" xfId="0" applyFont="1" applyBorder="1" applyAlignment="1">
      <alignment horizontal="left" vertical="top" wrapText="1"/>
    </xf>
    <xf numFmtId="0" fontId="15" fillId="0" borderId="0" xfId="0" applyFont="1" applyAlignment="1">
      <alignment horizontal="left" vertical="top" wrapText="1"/>
    </xf>
    <xf numFmtId="0" fontId="50" fillId="25" borderId="40" xfId="0" applyFont="1" applyFill="1" applyBorder="1" applyAlignment="1"/>
    <xf numFmtId="0" fontId="39" fillId="25" borderId="41" xfId="0" applyFont="1" applyFill="1" applyBorder="1" applyAlignment="1"/>
    <xf numFmtId="49" fontId="39" fillId="25" borderId="41" xfId="0" applyNumberFormat="1" applyFont="1" applyFill="1" applyBorder="1" applyAlignment="1">
      <alignment vertical="center"/>
    </xf>
    <xf numFmtId="0" fontId="39" fillId="25" borderId="41" xfId="0" applyFont="1" applyFill="1" applyBorder="1" applyAlignment="1">
      <alignment vertical="center"/>
    </xf>
    <xf numFmtId="0" fontId="39" fillId="25" borderId="93" xfId="0" applyFont="1" applyFill="1" applyBorder="1" applyAlignment="1">
      <alignment vertical="center"/>
    </xf>
    <xf numFmtId="1" fontId="110" fillId="25" borderId="13" xfId="5" applyNumberFormat="1" applyFont="1" applyFill="1" applyBorder="1" applyAlignment="1">
      <alignment horizontal="left" vertical="top"/>
    </xf>
    <xf numFmtId="0" fontId="2" fillId="25" borderId="0" xfId="1" applyFont="1" applyFill="1" applyBorder="1" applyAlignment="1">
      <alignment horizontal="center" vertical="top" wrapText="1"/>
    </xf>
    <xf numFmtId="1" fontId="112" fillId="25" borderId="13" xfId="5" applyNumberFormat="1" applyFont="1" applyFill="1" applyBorder="1" applyAlignment="1">
      <alignment horizontal="left" vertical="top"/>
    </xf>
    <xf numFmtId="1" fontId="112" fillId="25" borderId="14" xfId="5" applyNumberFormat="1" applyFont="1" applyFill="1" applyBorder="1" applyAlignment="1">
      <alignment horizontal="left" vertical="top"/>
    </xf>
    <xf numFmtId="0" fontId="2" fillId="25" borderId="23" xfId="1" applyFont="1" applyFill="1" applyBorder="1" applyAlignment="1">
      <alignment horizontal="center" vertical="top" wrapText="1"/>
    </xf>
    <xf numFmtId="0" fontId="30" fillId="9" borderId="56" xfId="0" applyFont="1" applyFill="1" applyBorder="1" applyAlignment="1" applyProtection="1">
      <alignment horizontal="left" vertical="center"/>
      <protection hidden="1"/>
    </xf>
    <xf numFmtId="0" fontId="76" fillId="0" borderId="0" xfId="0" applyFont="1" applyBorder="1"/>
    <xf numFmtId="0" fontId="41" fillId="0" borderId="0" xfId="0" applyFont="1" applyAlignment="1">
      <alignment horizontal="left" vertical="top" wrapText="1"/>
    </xf>
    <xf numFmtId="0" fontId="43" fillId="13" borderId="8" xfId="3" applyFont="1" applyFill="1" applyBorder="1" applyAlignment="1" applyProtection="1">
      <alignment horizontal="center" vertical="center" wrapText="1"/>
    </xf>
    <xf numFmtId="0" fontId="43" fillId="13" borderId="19" xfId="3" applyFont="1" applyFill="1" applyBorder="1" applyAlignment="1" applyProtection="1">
      <alignment horizontal="center" vertical="center" wrapText="1"/>
    </xf>
    <xf numFmtId="0" fontId="43" fillId="13" borderId="20" xfId="3" applyFont="1" applyFill="1" applyBorder="1" applyAlignment="1" applyProtection="1">
      <alignment horizontal="center" vertical="center" wrapText="1"/>
    </xf>
    <xf numFmtId="0" fontId="43" fillId="13" borderId="14" xfId="3" applyFont="1" applyFill="1" applyBorder="1" applyAlignment="1" applyProtection="1">
      <alignment horizontal="center" vertical="center" wrapText="1"/>
    </xf>
    <xf numFmtId="0" fontId="43" fillId="13" borderId="23" xfId="3" applyFont="1" applyFill="1" applyBorder="1" applyAlignment="1" applyProtection="1">
      <alignment horizontal="center" vertical="center" wrapText="1"/>
    </xf>
    <xf numFmtId="0" fontId="43" fillId="13" borderId="24" xfId="3" applyFont="1" applyFill="1" applyBorder="1" applyAlignment="1" applyProtection="1">
      <alignment horizontal="center" vertical="center" wrapText="1"/>
    </xf>
    <xf numFmtId="0" fontId="30" fillId="20" borderId="8" xfId="3" applyFont="1" applyFill="1" applyBorder="1" applyAlignment="1" applyProtection="1">
      <alignment horizontal="center" vertical="center" wrapText="1"/>
    </xf>
    <xf numFmtId="0" fontId="30" fillId="20" borderId="19" xfId="3" applyFont="1" applyFill="1" applyBorder="1" applyAlignment="1" applyProtection="1">
      <alignment horizontal="center" vertical="center" wrapText="1"/>
    </xf>
    <xf numFmtId="0" fontId="30" fillId="20" borderId="20" xfId="3" applyFont="1" applyFill="1" applyBorder="1" applyAlignment="1" applyProtection="1">
      <alignment horizontal="center" vertical="center" wrapText="1"/>
    </xf>
    <xf numFmtId="0" fontId="30" fillId="20" borderId="14" xfId="3" applyFont="1" applyFill="1" applyBorder="1" applyAlignment="1" applyProtection="1">
      <alignment horizontal="center" vertical="center" wrapText="1"/>
    </xf>
    <xf numFmtId="0" fontId="30" fillId="20" borderId="23" xfId="3" applyFont="1" applyFill="1" applyBorder="1" applyAlignment="1" applyProtection="1">
      <alignment horizontal="center" vertical="center" wrapText="1"/>
    </xf>
    <xf numFmtId="0" fontId="30" fillId="20" borderId="24" xfId="3" applyFont="1" applyFill="1" applyBorder="1" applyAlignment="1" applyProtection="1">
      <alignment horizontal="center" vertical="center" wrapText="1"/>
    </xf>
    <xf numFmtId="0" fontId="43" fillId="5" borderId="8" xfId="3" applyFont="1" applyFill="1" applyBorder="1" applyAlignment="1" applyProtection="1">
      <alignment horizontal="center" vertical="center" wrapText="1"/>
    </xf>
    <xf numFmtId="0" fontId="43" fillId="5" borderId="19" xfId="3" applyFont="1" applyFill="1" applyBorder="1" applyAlignment="1" applyProtection="1">
      <alignment horizontal="center" vertical="center" wrapText="1"/>
    </xf>
    <xf numFmtId="0" fontId="43" fillId="5" borderId="20" xfId="3" applyFont="1" applyFill="1" applyBorder="1" applyAlignment="1" applyProtection="1">
      <alignment horizontal="center" vertical="center" wrapText="1"/>
    </xf>
    <xf numFmtId="0" fontId="43" fillId="5" borderId="14" xfId="3" applyFont="1" applyFill="1" applyBorder="1" applyAlignment="1" applyProtection="1">
      <alignment horizontal="center" vertical="center" wrapText="1"/>
    </xf>
    <xf numFmtId="0" fontId="43" fillId="5" borderId="23" xfId="3" applyFont="1" applyFill="1" applyBorder="1" applyAlignment="1" applyProtection="1">
      <alignment horizontal="center" vertical="center" wrapText="1"/>
    </xf>
    <xf numFmtId="0" fontId="43" fillId="5" borderId="24" xfId="3" applyFont="1" applyFill="1" applyBorder="1" applyAlignment="1" applyProtection="1">
      <alignment horizontal="center" vertical="center" wrapText="1"/>
    </xf>
    <xf numFmtId="0" fontId="23" fillId="0" borderId="0" xfId="0" applyFont="1" applyAlignment="1">
      <alignment horizontal="center"/>
    </xf>
    <xf numFmtId="0" fontId="42" fillId="0" borderId="0" xfId="0" applyFont="1" applyAlignment="1">
      <alignment horizontal="center"/>
    </xf>
    <xf numFmtId="0" fontId="39" fillId="0" borderId="0" xfId="0" applyFont="1" applyAlignment="1">
      <alignment horizontal="center"/>
    </xf>
    <xf numFmtId="0" fontId="44" fillId="0" borderId="0" xfId="0" applyFont="1" applyAlignment="1">
      <alignment horizontal="center"/>
    </xf>
    <xf numFmtId="0" fontId="40" fillId="0" borderId="0" xfId="0" applyFont="1" applyAlignment="1">
      <alignment horizontal="center"/>
    </xf>
    <xf numFmtId="0" fontId="39" fillId="0" borderId="0" xfId="0" applyFont="1" applyAlignment="1">
      <alignment horizontal="center" vertical="top"/>
    </xf>
    <xf numFmtId="0" fontId="43" fillId="19" borderId="8" xfId="3" applyFont="1" applyFill="1" applyBorder="1" applyAlignment="1" applyProtection="1">
      <alignment horizontal="center" vertical="center"/>
    </xf>
    <xf numFmtId="0" fontId="43" fillId="19" borderId="19" xfId="3" applyFont="1" applyFill="1" applyBorder="1" applyAlignment="1" applyProtection="1">
      <alignment horizontal="center" vertical="center"/>
    </xf>
    <xf numFmtId="0" fontId="43" fillId="19" borderId="20" xfId="3" applyFont="1" applyFill="1" applyBorder="1" applyAlignment="1" applyProtection="1">
      <alignment horizontal="center" vertical="center"/>
    </xf>
    <xf numFmtId="0" fontId="43" fillId="19" borderId="14" xfId="3" applyFont="1" applyFill="1" applyBorder="1" applyAlignment="1" applyProtection="1">
      <alignment horizontal="center" vertical="center"/>
    </xf>
    <xf numFmtId="0" fontId="43" fillId="19" borderId="23" xfId="3" applyFont="1" applyFill="1" applyBorder="1" applyAlignment="1" applyProtection="1">
      <alignment horizontal="center" vertical="center"/>
    </xf>
    <xf numFmtId="0" fontId="43" fillId="19" borderId="24" xfId="3" applyFont="1" applyFill="1" applyBorder="1" applyAlignment="1" applyProtection="1">
      <alignment horizontal="center" vertical="center"/>
    </xf>
    <xf numFmtId="0" fontId="43" fillId="19" borderId="8" xfId="3" applyFont="1" applyFill="1" applyBorder="1" applyAlignment="1" applyProtection="1">
      <alignment horizontal="center" vertical="center" wrapText="1"/>
    </xf>
    <xf numFmtId="0" fontId="43" fillId="19" borderId="19" xfId="3" applyFont="1" applyFill="1" applyBorder="1" applyAlignment="1" applyProtection="1">
      <alignment horizontal="center" vertical="center" wrapText="1"/>
    </xf>
    <xf numFmtId="0" fontId="43" fillId="19" borderId="20" xfId="3" applyFont="1" applyFill="1" applyBorder="1" applyAlignment="1" applyProtection="1">
      <alignment horizontal="center" vertical="center" wrapText="1"/>
    </xf>
    <xf numFmtId="0" fontId="43" fillId="19" borderId="14" xfId="3" applyFont="1" applyFill="1" applyBorder="1" applyAlignment="1" applyProtection="1">
      <alignment horizontal="center" vertical="center" wrapText="1"/>
    </xf>
    <xf numFmtId="0" fontId="43" fillId="19" borderId="23" xfId="3" applyFont="1" applyFill="1" applyBorder="1" applyAlignment="1" applyProtection="1">
      <alignment horizontal="center" vertical="center" wrapText="1"/>
    </xf>
    <xf numFmtId="0" fontId="43" fillId="19" borderId="24" xfId="3" applyFont="1" applyFill="1" applyBorder="1" applyAlignment="1" applyProtection="1">
      <alignment horizontal="center" vertical="center" wrapText="1"/>
    </xf>
    <xf numFmtId="0" fontId="15" fillId="0" borderId="0" xfId="0" quotePrefix="1" applyFont="1" applyBorder="1" applyAlignment="1">
      <alignment horizontal="left" vertical="top" wrapText="1"/>
    </xf>
    <xf numFmtId="0" fontId="15" fillId="0" borderId="21" xfId="0" quotePrefix="1" applyFont="1" applyBorder="1" applyAlignment="1">
      <alignment horizontal="left" vertical="top" wrapText="1"/>
    </xf>
    <xf numFmtId="0" fontId="15" fillId="0" borderId="13" xfId="0" applyFont="1" applyBorder="1" applyAlignment="1">
      <alignment horizontal="left" wrapText="1"/>
    </xf>
    <xf numFmtId="0" fontId="15" fillId="0" borderId="0" xfId="0" applyFont="1" applyBorder="1" applyAlignment="1">
      <alignment horizontal="left" wrapText="1"/>
    </xf>
    <xf numFmtId="0" fontId="15" fillId="0" borderId="21" xfId="0" applyFont="1" applyBorder="1" applyAlignment="1">
      <alignment horizontal="left" wrapText="1"/>
    </xf>
    <xf numFmtId="0" fontId="15" fillId="0" borderId="14" xfId="0" applyFont="1" applyBorder="1" applyAlignment="1">
      <alignment horizontal="left" wrapText="1"/>
    </xf>
    <xf numFmtId="0" fontId="15" fillId="0" borderId="23" xfId="0" applyFont="1" applyBorder="1" applyAlignment="1">
      <alignment horizontal="left" wrapText="1"/>
    </xf>
    <xf numFmtId="0" fontId="15" fillId="0" borderId="24" xfId="0" applyFont="1" applyBorder="1" applyAlignment="1">
      <alignment horizontal="left" wrapText="1"/>
    </xf>
    <xf numFmtId="0" fontId="30" fillId="13" borderId="8" xfId="3" applyFont="1" applyFill="1" applyBorder="1" applyAlignment="1" applyProtection="1">
      <alignment horizontal="center" vertical="center" wrapText="1"/>
      <protection hidden="1"/>
    </xf>
    <xf numFmtId="0" fontId="30" fillId="13" borderId="19" xfId="3" applyFont="1" applyFill="1" applyBorder="1" applyAlignment="1" applyProtection="1">
      <alignment horizontal="center" vertical="center" wrapText="1"/>
      <protection hidden="1"/>
    </xf>
    <xf numFmtId="0" fontId="30" fillId="13" borderId="20" xfId="3" applyFont="1" applyFill="1" applyBorder="1" applyAlignment="1" applyProtection="1">
      <alignment horizontal="center" vertical="center" wrapText="1"/>
      <protection hidden="1"/>
    </xf>
    <xf numFmtId="0" fontId="30" fillId="13" borderId="13" xfId="3" applyFont="1" applyFill="1" applyBorder="1" applyAlignment="1" applyProtection="1">
      <alignment horizontal="center" vertical="center" wrapText="1"/>
      <protection hidden="1"/>
    </xf>
    <xf numFmtId="0" fontId="30" fillId="13" borderId="0" xfId="3" applyFont="1" applyFill="1" applyBorder="1" applyAlignment="1" applyProtection="1">
      <alignment horizontal="center" vertical="center" wrapText="1"/>
      <protection hidden="1"/>
    </xf>
    <xf numFmtId="0" fontId="30" fillId="13" borderId="21" xfId="3" applyFont="1" applyFill="1" applyBorder="1" applyAlignment="1" applyProtection="1">
      <alignment horizontal="center" vertical="center" wrapText="1"/>
      <protection hidden="1"/>
    </xf>
    <xf numFmtId="0" fontId="30" fillId="13" borderId="14" xfId="3" applyFont="1" applyFill="1" applyBorder="1" applyAlignment="1" applyProtection="1">
      <alignment horizontal="center" vertical="center" wrapText="1"/>
      <protection hidden="1"/>
    </xf>
    <xf numFmtId="0" fontId="30" fillId="13" borderId="23" xfId="3" applyFont="1" applyFill="1" applyBorder="1" applyAlignment="1" applyProtection="1">
      <alignment horizontal="center" vertical="center" wrapText="1"/>
      <protection hidden="1"/>
    </xf>
    <xf numFmtId="0" fontId="30" fillId="13" borderId="24" xfId="3" applyFont="1" applyFill="1" applyBorder="1" applyAlignment="1" applyProtection="1">
      <alignment horizontal="center" vertical="center" wrapText="1"/>
      <protection hidden="1"/>
    </xf>
    <xf numFmtId="0" fontId="15" fillId="0" borderId="8" xfId="0" applyFont="1"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13" xfId="0" applyBorder="1" applyAlignment="1">
      <alignment horizontal="left" vertical="top" wrapText="1"/>
    </xf>
    <xf numFmtId="0" fontId="0" fillId="0" borderId="0" xfId="0" applyBorder="1" applyAlignment="1">
      <alignment horizontal="left" vertical="top" wrapText="1"/>
    </xf>
    <xf numFmtId="0" fontId="0" fillId="0" borderId="21" xfId="0" applyBorder="1" applyAlignment="1">
      <alignment horizontal="left" vertical="top" wrapText="1"/>
    </xf>
    <xf numFmtId="0" fontId="23" fillId="19" borderId="8" xfId="3" applyFont="1" applyFill="1" applyBorder="1" applyAlignment="1" applyProtection="1">
      <alignment horizontal="center" vertical="center" wrapText="1"/>
    </xf>
    <xf numFmtId="0" fontId="23" fillId="19" borderId="19" xfId="3" applyFont="1" applyFill="1" applyBorder="1" applyAlignment="1" applyProtection="1">
      <alignment horizontal="center" vertical="center" wrapText="1"/>
    </xf>
    <xf numFmtId="0" fontId="23" fillId="19" borderId="20" xfId="3" applyFont="1" applyFill="1" applyBorder="1" applyAlignment="1" applyProtection="1">
      <alignment horizontal="center" vertical="center" wrapText="1"/>
    </xf>
    <xf numFmtId="0" fontId="23" fillId="19" borderId="13" xfId="3" applyFont="1" applyFill="1" applyBorder="1" applyAlignment="1" applyProtection="1">
      <alignment horizontal="center" vertical="center" wrapText="1"/>
    </xf>
    <xf numFmtId="0" fontId="23" fillId="19" borderId="0" xfId="3" applyFont="1" applyFill="1" applyBorder="1" applyAlignment="1" applyProtection="1">
      <alignment horizontal="center" vertical="center" wrapText="1"/>
    </xf>
    <xf numFmtId="0" fontId="23" fillId="19" borderId="21" xfId="3" applyFont="1" applyFill="1" applyBorder="1" applyAlignment="1" applyProtection="1">
      <alignment horizontal="center" vertical="center" wrapText="1"/>
    </xf>
    <xf numFmtId="0" fontId="23" fillId="19" borderId="14" xfId="3" applyFont="1" applyFill="1" applyBorder="1" applyAlignment="1" applyProtection="1">
      <alignment horizontal="center" vertical="center" wrapText="1"/>
    </xf>
    <xf numFmtId="0" fontId="23" fillId="19" borderId="23" xfId="3" applyFont="1" applyFill="1" applyBorder="1" applyAlignment="1" applyProtection="1">
      <alignment horizontal="center" vertical="center" wrapText="1"/>
    </xf>
    <xf numFmtId="0" fontId="23" fillId="19" borderId="24" xfId="3" applyFont="1" applyFill="1" applyBorder="1" applyAlignment="1" applyProtection="1">
      <alignment horizontal="center" vertical="center" wrapText="1"/>
    </xf>
    <xf numFmtId="0" fontId="15" fillId="0" borderId="13" xfId="0" applyFont="1" applyBorder="1" applyAlignment="1">
      <alignment horizontal="left" vertical="top" wrapText="1"/>
    </xf>
    <xf numFmtId="0" fontId="15" fillId="0" borderId="0" xfId="0" applyFont="1" applyBorder="1" applyAlignment="1">
      <alignment horizontal="left" vertical="top" wrapText="1"/>
    </xf>
    <xf numFmtId="0" fontId="15" fillId="0" borderId="21" xfId="0" applyFont="1" applyBorder="1" applyAlignment="1">
      <alignment horizontal="left" vertical="top" wrapText="1"/>
    </xf>
    <xf numFmtId="0" fontId="15" fillId="0" borderId="19" xfId="0" applyFont="1" applyBorder="1" applyAlignment="1">
      <alignment horizontal="left" vertical="top" wrapText="1"/>
    </xf>
    <xf numFmtId="0" fontId="15" fillId="0" borderId="20" xfId="0" applyFont="1" applyBorder="1" applyAlignment="1">
      <alignment horizontal="left" vertical="top" wrapText="1"/>
    </xf>
    <xf numFmtId="0" fontId="43" fillId="5" borderId="8" xfId="3" applyFont="1" applyFill="1" applyBorder="1" applyAlignment="1" applyProtection="1">
      <alignment horizontal="center" vertical="center" wrapText="1"/>
      <protection hidden="1"/>
    </xf>
    <xf numFmtId="0" fontId="43" fillId="5" borderId="20" xfId="3" applyFont="1" applyFill="1" applyBorder="1" applyAlignment="1" applyProtection="1">
      <alignment horizontal="center" vertical="center" wrapText="1"/>
      <protection hidden="1"/>
    </xf>
    <xf numFmtId="0" fontId="43" fillId="5" borderId="14" xfId="3" applyFont="1" applyFill="1" applyBorder="1" applyAlignment="1" applyProtection="1">
      <alignment horizontal="center" vertical="center" wrapText="1"/>
      <protection hidden="1"/>
    </xf>
    <xf numFmtId="0" fontId="43" fillId="5" borderId="24" xfId="3" applyFont="1" applyFill="1" applyBorder="1" applyAlignment="1" applyProtection="1">
      <alignment horizontal="center" vertical="center" wrapText="1"/>
      <protection hidden="1"/>
    </xf>
    <xf numFmtId="0" fontId="30" fillId="27" borderId="8" xfId="3" applyFont="1" applyFill="1" applyBorder="1" applyAlignment="1" applyProtection="1">
      <alignment horizontal="center" vertical="center" wrapText="1"/>
      <protection hidden="1"/>
    </xf>
    <xf numFmtId="0" fontId="30" fillId="27" borderId="20" xfId="3" applyFont="1" applyFill="1" applyBorder="1" applyAlignment="1" applyProtection="1">
      <alignment horizontal="center" vertical="center" wrapText="1"/>
      <protection hidden="1"/>
    </xf>
    <xf numFmtId="0" fontId="30" fillId="27" borderId="13" xfId="3" applyFont="1" applyFill="1" applyBorder="1" applyAlignment="1" applyProtection="1">
      <alignment horizontal="center" vertical="center" wrapText="1"/>
      <protection hidden="1"/>
    </xf>
    <xf numFmtId="0" fontId="30" fillId="27" borderId="21" xfId="3" applyFont="1" applyFill="1" applyBorder="1" applyAlignment="1" applyProtection="1">
      <alignment horizontal="center" vertical="center" wrapText="1"/>
      <protection hidden="1"/>
    </xf>
    <xf numFmtId="0" fontId="30" fillId="27" borderId="14" xfId="3" applyFont="1" applyFill="1" applyBorder="1" applyAlignment="1" applyProtection="1">
      <alignment horizontal="center" vertical="center" wrapText="1"/>
      <protection hidden="1"/>
    </xf>
    <xf numFmtId="0" fontId="30" fillId="27" borderId="24" xfId="3" applyFont="1" applyFill="1" applyBorder="1" applyAlignment="1" applyProtection="1">
      <alignment horizontal="center" vertical="center" wrapText="1"/>
      <protection hidden="1"/>
    </xf>
    <xf numFmtId="0" fontId="30" fillId="12" borderId="8" xfId="3" applyFont="1" applyFill="1" applyBorder="1" applyAlignment="1" applyProtection="1">
      <alignment horizontal="center" vertical="center" wrapText="1"/>
      <protection hidden="1"/>
    </xf>
    <xf numFmtId="0" fontId="30" fillId="12" borderId="19" xfId="3" applyFont="1" applyFill="1" applyBorder="1" applyAlignment="1" applyProtection="1">
      <alignment horizontal="center" vertical="center" wrapText="1"/>
      <protection hidden="1"/>
    </xf>
    <xf numFmtId="0" fontId="30" fillId="12" borderId="20" xfId="3" applyFont="1" applyFill="1" applyBorder="1" applyAlignment="1" applyProtection="1">
      <alignment horizontal="center" vertical="center" wrapText="1"/>
      <protection hidden="1"/>
    </xf>
    <xf numFmtId="0" fontId="30" fillId="12" borderId="13" xfId="3" applyFont="1" applyFill="1" applyBorder="1" applyAlignment="1" applyProtection="1">
      <alignment horizontal="center" vertical="center" wrapText="1"/>
      <protection hidden="1"/>
    </xf>
    <xf numFmtId="0" fontId="30" fillId="12" borderId="0" xfId="3" applyFont="1" applyFill="1" applyBorder="1" applyAlignment="1" applyProtection="1">
      <alignment horizontal="center" vertical="center" wrapText="1"/>
      <protection hidden="1"/>
    </xf>
    <xf numFmtId="0" fontId="30" fillId="12" borderId="21" xfId="3" applyFont="1" applyFill="1" applyBorder="1" applyAlignment="1" applyProtection="1">
      <alignment horizontal="center" vertical="center" wrapText="1"/>
      <protection hidden="1"/>
    </xf>
    <xf numFmtId="0" fontId="30" fillId="12" borderId="14" xfId="3" applyFont="1" applyFill="1" applyBorder="1" applyAlignment="1" applyProtection="1">
      <alignment horizontal="center" vertical="center" wrapText="1"/>
      <protection hidden="1"/>
    </xf>
    <xf numFmtId="0" fontId="30" fillId="12" borderId="23" xfId="3" applyFont="1" applyFill="1" applyBorder="1" applyAlignment="1" applyProtection="1">
      <alignment horizontal="center" vertical="center" wrapText="1"/>
      <protection hidden="1"/>
    </xf>
    <xf numFmtId="0" fontId="30" fillId="12" borderId="24" xfId="3" applyFont="1" applyFill="1" applyBorder="1" applyAlignment="1" applyProtection="1">
      <alignment horizontal="center" vertical="center" wrapText="1"/>
      <protection hidden="1"/>
    </xf>
    <xf numFmtId="0" fontId="113" fillId="3" borderId="106" xfId="0" applyFont="1" applyFill="1" applyBorder="1" applyAlignment="1">
      <alignment horizontal="left" vertical="center"/>
    </xf>
    <xf numFmtId="0" fontId="113" fillId="3" borderId="107" xfId="0" applyFont="1" applyFill="1" applyBorder="1" applyAlignment="1">
      <alignment horizontal="left" vertical="center"/>
    </xf>
    <xf numFmtId="0" fontId="114" fillId="3" borderId="107" xfId="0" applyFont="1" applyFill="1" applyBorder="1" applyAlignment="1">
      <alignment horizontal="right" textRotation="90"/>
    </xf>
    <xf numFmtId="0" fontId="18" fillId="0" borderId="0" xfId="0" applyFont="1" applyAlignment="1">
      <alignment horizontal="left" vertical="center" wrapText="1"/>
    </xf>
    <xf numFmtId="0" fontId="90" fillId="13" borderId="8" xfId="3" applyFont="1" applyFill="1" applyBorder="1" applyAlignment="1" applyProtection="1">
      <alignment horizontal="center" vertical="center" wrapText="1"/>
      <protection hidden="1"/>
    </xf>
    <xf numFmtId="0" fontId="90" fillId="13" borderId="19" xfId="3" applyFont="1" applyFill="1" applyBorder="1" applyAlignment="1" applyProtection="1">
      <alignment horizontal="center" vertical="center" wrapText="1"/>
      <protection hidden="1"/>
    </xf>
    <xf numFmtId="0" fontId="90" fillId="13" borderId="20" xfId="3" applyFont="1" applyFill="1" applyBorder="1" applyAlignment="1" applyProtection="1">
      <alignment horizontal="center" vertical="center" wrapText="1"/>
      <protection hidden="1"/>
    </xf>
    <xf numFmtId="0" fontId="90" fillId="13" borderId="13" xfId="3" applyFont="1" applyFill="1" applyBorder="1" applyAlignment="1" applyProtection="1">
      <alignment horizontal="center" vertical="center" wrapText="1"/>
      <protection hidden="1"/>
    </xf>
    <xf numFmtId="0" fontId="90" fillId="13" borderId="0" xfId="3" applyFont="1" applyFill="1" applyBorder="1" applyAlignment="1" applyProtection="1">
      <alignment horizontal="center" vertical="center" wrapText="1"/>
      <protection hidden="1"/>
    </xf>
    <xf numFmtId="0" fontId="90" fillId="13" borderId="21" xfId="3" applyFont="1" applyFill="1" applyBorder="1" applyAlignment="1" applyProtection="1">
      <alignment horizontal="center" vertical="center" wrapText="1"/>
      <protection hidden="1"/>
    </xf>
    <xf numFmtId="0" fontId="90" fillId="13" borderId="14" xfId="3" applyFont="1" applyFill="1" applyBorder="1" applyAlignment="1" applyProtection="1">
      <alignment horizontal="center" vertical="center" wrapText="1"/>
      <protection hidden="1"/>
    </xf>
    <xf numFmtId="0" fontId="90" fillId="13" borderId="23" xfId="3" applyFont="1" applyFill="1" applyBorder="1" applyAlignment="1" applyProtection="1">
      <alignment horizontal="center" vertical="center" wrapText="1"/>
      <protection hidden="1"/>
    </xf>
    <xf numFmtId="0" fontId="90" fillId="13" borderId="24" xfId="3" applyFont="1" applyFill="1" applyBorder="1" applyAlignment="1" applyProtection="1">
      <alignment horizontal="center" vertical="center" wrapText="1"/>
      <protection hidden="1"/>
    </xf>
    <xf numFmtId="14" fontId="14" fillId="22" borderId="92" xfId="0" applyNumberFormat="1" applyFont="1" applyFill="1" applyBorder="1" applyAlignment="1">
      <alignment horizontal="right"/>
    </xf>
    <xf numFmtId="14" fontId="14" fillId="22" borderId="93" xfId="0" applyNumberFormat="1" applyFont="1" applyFill="1" applyBorder="1" applyAlignment="1">
      <alignment horizontal="right"/>
    </xf>
    <xf numFmtId="167" fontId="7" fillId="8" borderId="16" xfId="0" applyNumberFormat="1" applyFont="1" applyFill="1" applyBorder="1" applyAlignment="1">
      <alignment horizontal="center"/>
    </xf>
    <xf numFmtId="0" fontId="19" fillId="3" borderId="0" xfId="0" applyFont="1" applyFill="1" applyBorder="1" applyAlignment="1">
      <alignment horizontal="left" vertical="center" wrapText="1"/>
    </xf>
    <xf numFmtId="0" fontId="19" fillId="21" borderId="0" xfId="0" applyFont="1" applyFill="1" applyBorder="1" applyAlignment="1">
      <alignment horizontal="left" vertical="center" wrapText="1"/>
    </xf>
    <xf numFmtId="0" fontId="6" fillId="8" borderId="16" xfId="0" applyFont="1" applyFill="1" applyBorder="1" applyAlignment="1">
      <alignment horizontal="center"/>
    </xf>
    <xf numFmtId="0" fontId="20" fillId="13" borderId="8" xfId="3" applyFont="1" applyFill="1" applyBorder="1" applyAlignment="1" applyProtection="1">
      <alignment horizontal="left" vertical="center" wrapText="1"/>
    </xf>
    <xf numFmtId="0" fontId="20" fillId="13" borderId="19" xfId="3" applyFont="1" applyFill="1" applyBorder="1" applyAlignment="1" applyProtection="1">
      <alignment horizontal="left" vertical="center"/>
    </xf>
    <xf numFmtId="0" fontId="20" fillId="13" borderId="20" xfId="3" applyFont="1" applyFill="1" applyBorder="1" applyAlignment="1" applyProtection="1">
      <alignment horizontal="left" vertical="center"/>
    </xf>
    <xf numFmtId="0" fontId="20" fillId="13" borderId="14" xfId="3" applyFont="1" applyFill="1" applyBorder="1" applyAlignment="1" applyProtection="1">
      <alignment horizontal="left" vertical="center"/>
    </xf>
    <xf numFmtId="0" fontId="20" fillId="13" borderId="23" xfId="3" applyFont="1" applyFill="1" applyBorder="1" applyAlignment="1" applyProtection="1">
      <alignment horizontal="left" vertical="center"/>
    </xf>
    <xf numFmtId="0" fontId="20" fillId="13" borderId="24" xfId="3" applyFont="1" applyFill="1" applyBorder="1" applyAlignment="1" applyProtection="1">
      <alignment horizontal="left" vertical="center"/>
    </xf>
    <xf numFmtId="0" fontId="20" fillId="13" borderId="19" xfId="3" applyFont="1" applyFill="1" applyBorder="1" applyAlignment="1" applyProtection="1">
      <alignment horizontal="left" vertical="center" wrapText="1"/>
    </xf>
    <xf numFmtId="0" fontId="20" fillId="13" borderId="20" xfId="3" applyFont="1" applyFill="1" applyBorder="1" applyAlignment="1" applyProtection="1">
      <alignment horizontal="left" vertical="center" wrapText="1"/>
    </xf>
    <xf numFmtId="0" fontId="20" fillId="13" borderId="14" xfId="3" applyFont="1" applyFill="1" applyBorder="1" applyAlignment="1" applyProtection="1">
      <alignment horizontal="left" vertical="center" wrapText="1"/>
    </xf>
    <xf numFmtId="0" fontId="20" fillId="13" borderId="23" xfId="3" applyFont="1" applyFill="1" applyBorder="1" applyAlignment="1" applyProtection="1">
      <alignment horizontal="left" vertical="center" wrapText="1"/>
    </xf>
    <xf numFmtId="0" fontId="20" fillId="13" borderId="24" xfId="3" applyFont="1" applyFill="1" applyBorder="1" applyAlignment="1" applyProtection="1">
      <alignment horizontal="left" vertical="center" wrapText="1"/>
    </xf>
    <xf numFmtId="165" fontId="16" fillId="7" borderId="17" xfId="0" applyNumberFormat="1" applyFont="1" applyFill="1" applyBorder="1" applyAlignment="1">
      <alignment horizontal="center"/>
    </xf>
    <xf numFmtId="165" fontId="17" fillId="7" borderId="18" xfId="0" applyNumberFormat="1" applyFont="1" applyFill="1" applyBorder="1" applyAlignment="1">
      <alignment horizontal="center"/>
    </xf>
    <xf numFmtId="0" fontId="18" fillId="13" borderId="8" xfId="3" applyFont="1" applyFill="1" applyBorder="1" applyAlignment="1" applyProtection="1">
      <alignment horizontal="left" vertical="center" wrapText="1"/>
    </xf>
    <xf numFmtId="0" fontId="18" fillId="13" borderId="19" xfId="3" applyFont="1" applyFill="1" applyBorder="1" applyAlignment="1" applyProtection="1">
      <alignment horizontal="left" vertical="center" wrapText="1"/>
    </xf>
    <xf numFmtId="0" fontId="18" fillId="13" borderId="20" xfId="3" applyFont="1" applyFill="1" applyBorder="1" applyAlignment="1" applyProtection="1">
      <alignment horizontal="left" vertical="center" wrapText="1"/>
    </xf>
    <xf numFmtId="0" fontId="18" fillId="13" borderId="14" xfId="3" applyFont="1" applyFill="1" applyBorder="1" applyAlignment="1" applyProtection="1">
      <alignment horizontal="left" vertical="center" wrapText="1"/>
    </xf>
    <xf numFmtId="0" fontId="18" fillId="13" borderId="23" xfId="3" applyFont="1" applyFill="1" applyBorder="1" applyAlignment="1" applyProtection="1">
      <alignment horizontal="left" vertical="center" wrapText="1"/>
    </xf>
    <xf numFmtId="0" fontId="18" fillId="13" borderId="24" xfId="3" applyFont="1" applyFill="1" applyBorder="1" applyAlignment="1" applyProtection="1">
      <alignment horizontal="left" vertical="center" wrapText="1"/>
    </xf>
    <xf numFmtId="166" fontId="14" fillId="22" borderId="91" xfId="0" applyNumberFormat="1" applyFont="1" applyFill="1" applyBorder="1" applyAlignment="1">
      <alignment horizontal="right" vertical="center"/>
    </xf>
    <xf numFmtId="166" fontId="14" fillId="22" borderId="24" xfId="0" applyNumberFormat="1" applyFont="1" applyFill="1" applyBorder="1" applyAlignment="1">
      <alignment horizontal="right" vertical="center"/>
    </xf>
    <xf numFmtId="0" fontId="48" fillId="3" borderId="83" xfId="0" applyFont="1" applyFill="1" applyBorder="1" applyAlignment="1">
      <alignment horizontal="center" vertical="top" wrapText="1"/>
    </xf>
    <xf numFmtId="9" fontId="8" fillId="3" borderId="0" xfId="2" applyFont="1" applyFill="1" applyBorder="1" applyAlignment="1">
      <alignment horizontal="center" vertical="center"/>
    </xf>
    <xf numFmtId="9" fontId="25" fillId="3" borderId="0" xfId="2" applyFont="1" applyFill="1" applyBorder="1" applyAlignment="1">
      <alignment horizontal="center" vertical="center"/>
    </xf>
    <xf numFmtId="0" fontId="6" fillId="3" borderId="0" xfId="0" applyFont="1" applyFill="1" applyBorder="1" applyAlignment="1">
      <alignment horizontal="center"/>
    </xf>
    <xf numFmtId="0" fontId="19" fillId="3" borderId="0" xfId="0" applyFont="1" applyFill="1" applyBorder="1" applyAlignment="1">
      <alignment horizontal="left" wrapText="1"/>
    </xf>
    <xf numFmtId="0" fontId="23" fillId="0" borderId="96" xfId="0" applyFont="1" applyBorder="1" applyAlignment="1">
      <alignment horizontal="center" vertical="center" wrapText="1"/>
    </xf>
    <xf numFmtId="0" fontId="23" fillId="0" borderId="44" xfId="0" applyFont="1" applyBorder="1" applyAlignment="1">
      <alignment horizontal="center" vertical="center" wrapText="1"/>
    </xf>
    <xf numFmtId="0" fontId="106" fillId="0" borderId="0" xfId="1" applyFont="1" applyFill="1" applyAlignment="1">
      <alignment horizontal="left" vertical="top" wrapText="1"/>
    </xf>
    <xf numFmtId="0" fontId="30" fillId="30" borderId="8" xfId="3" applyFont="1" applyFill="1" applyBorder="1" applyAlignment="1" applyProtection="1">
      <alignment horizontal="center" vertical="center" wrapText="1"/>
    </xf>
    <xf numFmtId="0" fontId="30" fillId="30" borderId="20" xfId="3" applyFont="1" applyFill="1" applyBorder="1" applyAlignment="1" applyProtection="1">
      <alignment horizontal="center" vertical="center" wrapText="1"/>
    </xf>
    <xf numFmtId="0" fontId="30" fillId="30" borderId="14" xfId="3" applyFont="1" applyFill="1" applyBorder="1" applyAlignment="1" applyProtection="1">
      <alignment horizontal="center" vertical="center" wrapText="1"/>
    </xf>
    <xf numFmtId="0" fontId="30" fillId="30" borderId="24" xfId="3" applyFont="1" applyFill="1" applyBorder="1" applyAlignment="1" applyProtection="1">
      <alignment horizontal="center" vertical="center" wrapText="1"/>
    </xf>
    <xf numFmtId="0" fontId="66" fillId="0" borderId="0" xfId="0" applyFont="1" applyFill="1" applyBorder="1" applyAlignment="1" applyProtection="1">
      <alignment horizontal="left" vertical="top" wrapText="1"/>
      <protection hidden="1"/>
    </xf>
    <xf numFmtId="0" fontId="15" fillId="0" borderId="0" xfId="0" applyFont="1" applyFill="1" applyBorder="1" applyAlignment="1" applyProtection="1">
      <alignment horizontal="left" vertical="top" wrapText="1"/>
      <protection hidden="1"/>
    </xf>
    <xf numFmtId="0" fontId="30" fillId="13" borderId="25" xfId="3" applyFont="1" applyFill="1" applyBorder="1" applyAlignment="1" applyProtection="1">
      <alignment horizontal="center" vertical="center" wrapText="1"/>
      <protection hidden="1"/>
    </xf>
    <xf numFmtId="0" fontId="30" fillId="13" borderId="26" xfId="3" applyFont="1" applyFill="1" applyBorder="1" applyAlignment="1" applyProtection="1">
      <alignment horizontal="center" vertical="center" wrapText="1"/>
      <protection hidden="1"/>
    </xf>
    <xf numFmtId="0" fontId="27" fillId="0" borderId="5" xfId="0" applyFont="1" applyFill="1" applyBorder="1" applyAlignment="1" applyProtection="1">
      <alignment horizontal="center"/>
      <protection hidden="1"/>
    </xf>
    <xf numFmtId="49" fontId="83" fillId="0" borderId="0" xfId="1" applyNumberFormat="1" applyFont="1" applyFill="1" applyBorder="1" applyAlignment="1">
      <alignment horizontal="center" wrapText="1"/>
    </xf>
    <xf numFmtId="0" fontId="23"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wrapText="1"/>
      <protection hidden="1"/>
    </xf>
    <xf numFmtId="49" fontId="84" fillId="22" borderId="27" xfId="1" applyNumberFormat="1" applyFont="1" applyFill="1" applyBorder="1" applyAlignment="1">
      <alignment horizontal="center" wrapText="1"/>
    </xf>
    <xf numFmtId="49" fontId="84" fillId="22" borderId="28" xfId="1" applyNumberFormat="1" applyFont="1" applyFill="1" applyBorder="1" applyAlignment="1">
      <alignment horizontal="center" wrapText="1"/>
    </xf>
    <xf numFmtId="49" fontId="84" fillId="22" borderId="31" xfId="1" applyNumberFormat="1" applyFont="1" applyFill="1" applyBorder="1" applyAlignment="1">
      <alignment horizontal="center" wrapText="1"/>
    </xf>
    <xf numFmtId="49" fontId="84" fillId="22" borderId="32" xfId="1" applyNumberFormat="1" applyFont="1" applyFill="1" applyBorder="1" applyAlignment="1">
      <alignment horizontal="center" wrapText="1"/>
    </xf>
    <xf numFmtId="0" fontId="52" fillId="31" borderId="108" xfId="3" applyFont="1" applyFill="1" applyBorder="1" applyAlignment="1" applyProtection="1">
      <alignment horizontal="center" vertical="center" wrapText="1"/>
    </xf>
    <xf numFmtId="0" fontId="52" fillId="31" borderId="109" xfId="3" applyFont="1" applyFill="1" applyBorder="1" applyAlignment="1" applyProtection="1">
      <alignment horizontal="center" vertical="center" wrapText="1"/>
    </xf>
    <xf numFmtId="0" fontId="52" fillId="31" borderId="110" xfId="3" applyFont="1" applyFill="1" applyBorder="1" applyAlignment="1" applyProtection="1">
      <alignment horizontal="center" vertical="center" wrapText="1"/>
    </xf>
    <xf numFmtId="0" fontId="52" fillId="31" borderId="111" xfId="3" applyFont="1" applyFill="1" applyBorder="1" applyAlignment="1" applyProtection="1">
      <alignment horizontal="center" vertical="center" wrapText="1"/>
    </xf>
    <xf numFmtId="0" fontId="52" fillId="31" borderId="0" xfId="3" applyFont="1" applyFill="1" applyBorder="1" applyAlignment="1" applyProtection="1">
      <alignment horizontal="center" vertical="center" wrapText="1"/>
    </xf>
    <xf numFmtId="0" fontId="52" fillId="31" borderId="112" xfId="3" applyFont="1" applyFill="1" applyBorder="1" applyAlignment="1" applyProtection="1">
      <alignment horizontal="center" vertical="center" wrapText="1"/>
    </xf>
    <xf numFmtId="0" fontId="52" fillId="31" borderId="113" xfId="3" applyFont="1" applyFill="1" applyBorder="1" applyAlignment="1" applyProtection="1">
      <alignment horizontal="center" vertical="center" wrapText="1"/>
    </xf>
    <xf numFmtId="0" fontId="52" fillId="31" borderId="114" xfId="3" applyFont="1" applyFill="1" applyBorder="1" applyAlignment="1" applyProtection="1">
      <alignment horizontal="center" vertical="center" wrapText="1"/>
    </xf>
    <xf numFmtId="0" fontId="52" fillId="31" borderId="115" xfId="3" applyFont="1" applyFill="1" applyBorder="1" applyAlignment="1" applyProtection="1">
      <alignment horizontal="center" vertical="center" wrapText="1"/>
    </xf>
    <xf numFmtId="0" fontId="36" fillId="0" borderId="13" xfId="5" applyFont="1" applyFill="1" applyBorder="1" applyAlignment="1">
      <alignment horizontal="center" vertical="center"/>
    </xf>
    <xf numFmtId="0" fontId="36" fillId="0" borderId="0" xfId="5" applyFont="1" applyFill="1" applyAlignment="1">
      <alignment horizontal="center" vertical="center"/>
    </xf>
    <xf numFmtId="168" fontId="111" fillId="25" borderId="0" xfId="4" applyNumberFormat="1" applyFont="1" applyFill="1" applyBorder="1" applyAlignment="1">
      <alignment horizontal="center" vertical="top"/>
    </xf>
    <xf numFmtId="168" fontId="111" fillId="25" borderId="21" xfId="4" applyNumberFormat="1" applyFont="1" applyFill="1" applyBorder="1" applyAlignment="1">
      <alignment horizontal="center" vertical="top"/>
    </xf>
    <xf numFmtId="168" fontId="112" fillId="25" borderId="0" xfId="4" applyNumberFormat="1" applyFont="1" applyFill="1" applyBorder="1" applyAlignment="1">
      <alignment horizontal="center" vertical="top"/>
    </xf>
    <xf numFmtId="168" fontId="112" fillId="25" borderId="21" xfId="4" applyNumberFormat="1" applyFont="1" applyFill="1" applyBorder="1" applyAlignment="1">
      <alignment horizontal="center" vertical="top"/>
    </xf>
    <xf numFmtId="0" fontId="39" fillId="0" borderId="27" xfId="0" applyFont="1" applyFill="1" applyBorder="1" applyAlignment="1" applyProtection="1">
      <alignment horizontal="center"/>
      <protection hidden="1"/>
    </xf>
    <xf numFmtId="0" fontId="39" fillId="0" borderId="28" xfId="0" applyFont="1" applyFill="1" applyBorder="1" applyAlignment="1" applyProtection="1">
      <alignment horizontal="center"/>
      <protection hidden="1"/>
    </xf>
    <xf numFmtId="0" fontId="30" fillId="10" borderId="8" xfId="3" applyFont="1" applyFill="1" applyBorder="1" applyAlignment="1" applyProtection="1">
      <alignment horizontal="center" vertical="center" wrapText="1"/>
      <protection hidden="1"/>
    </xf>
    <xf numFmtId="0" fontId="30" fillId="10" borderId="20" xfId="3" applyFont="1" applyFill="1" applyBorder="1" applyAlignment="1" applyProtection="1">
      <alignment horizontal="center" vertical="center" wrapText="1"/>
      <protection hidden="1"/>
    </xf>
    <xf numFmtId="0" fontId="30" fillId="10" borderId="13" xfId="3" applyFont="1" applyFill="1" applyBorder="1" applyAlignment="1" applyProtection="1">
      <alignment horizontal="center" vertical="center" wrapText="1"/>
      <protection hidden="1"/>
    </xf>
    <xf numFmtId="0" fontId="30" fillId="10" borderId="21" xfId="3" applyFont="1" applyFill="1" applyBorder="1" applyAlignment="1" applyProtection="1">
      <alignment horizontal="center" vertical="center" wrapText="1"/>
      <protection hidden="1"/>
    </xf>
    <xf numFmtId="0" fontId="30" fillId="10" borderId="14" xfId="3" applyFont="1" applyFill="1" applyBorder="1" applyAlignment="1" applyProtection="1">
      <alignment horizontal="center" vertical="center" wrapText="1"/>
      <protection hidden="1"/>
    </xf>
    <xf numFmtId="0" fontId="30" fillId="10" borderId="24" xfId="3" applyFont="1" applyFill="1" applyBorder="1" applyAlignment="1" applyProtection="1">
      <alignment horizontal="center" vertical="center" wrapText="1"/>
      <protection hidden="1"/>
    </xf>
    <xf numFmtId="0" fontId="30" fillId="27" borderId="25" xfId="3" applyFont="1" applyFill="1" applyBorder="1" applyAlignment="1" applyProtection="1">
      <alignment horizontal="center" vertical="center" wrapText="1"/>
      <protection hidden="1"/>
    </xf>
    <xf numFmtId="0" fontId="30" fillId="27" borderId="72" xfId="3" applyFont="1" applyFill="1" applyBorder="1" applyAlignment="1" applyProtection="1">
      <alignment horizontal="center" vertical="center" wrapText="1"/>
      <protection hidden="1"/>
    </xf>
    <xf numFmtId="0" fontId="30" fillId="27" borderId="26" xfId="3" applyFont="1" applyFill="1" applyBorder="1" applyAlignment="1" applyProtection="1">
      <alignment horizontal="center" vertical="center" wrapText="1"/>
      <protection hidden="1"/>
    </xf>
    <xf numFmtId="0" fontId="30" fillId="25" borderId="25" xfId="3" applyFont="1" applyFill="1" applyBorder="1" applyAlignment="1" applyProtection="1">
      <alignment horizontal="center" vertical="center" wrapText="1"/>
      <protection hidden="1"/>
    </xf>
    <xf numFmtId="0" fontId="30" fillId="25" borderId="72" xfId="3" applyFont="1" applyFill="1" applyBorder="1" applyAlignment="1" applyProtection="1">
      <alignment horizontal="center" vertical="center" wrapText="1"/>
      <protection hidden="1"/>
    </xf>
    <xf numFmtId="0" fontId="30" fillId="25" borderId="26" xfId="3" applyFont="1" applyFill="1" applyBorder="1" applyAlignment="1" applyProtection="1">
      <alignment horizontal="center" vertical="center" wrapText="1"/>
      <protection hidden="1"/>
    </xf>
    <xf numFmtId="168" fontId="112" fillId="25" borderId="23" xfId="4" applyNumberFormat="1" applyFont="1" applyFill="1" applyBorder="1" applyAlignment="1">
      <alignment horizontal="center" vertical="top"/>
    </xf>
    <xf numFmtId="168" fontId="112" fillId="25" borderId="24" xfId="4" applyNumberFormat="1" applyFont="1" applyFill="1" applyBorder="1" applyAlignment="1">
      <alignment horizontal="center" vertical="top"/>
    </xf>
    <xf numFmtId="0" fontId="30" fillId="13" borderId="72" xfId="3" applyFont="1" applyFill="1" applyBorder="1" applyAlignment="1" applyProtection="1">
      <alignment horizontal="center" vertical="center" wrapText="1"/>
      <protection hidden="1"/>
    </xf>
    <xf numFmtId="0" fontId="30" fillId="5" borderId="25" xfId="3" applyFont="1" applyFill="1" applyBorder="1" applyAlignment="1" applyProtection="1">
      <alignment horizontal="center" vertical="center" wrapText="1"/>
      <protection hidden="1"/>
    </xf>
    <xf numFmtId="0" fontId="30" fillId="5" borderId="72" xfId="3" applyFont="1" applyFill="1" applyBorder="1" applyAlignment="1" applyProtection="1">
      <alignment horizontal="center" vertical="center" wrapText="1"/>
      <protection hidden="1"/>
    </xf>
    <xf numFmtId="0" fontId="30" fillId="5" borderId="26" xfId="3" applyFont="1" applyFill="1" applyBorder="1" applyAlignment="1" applyProtection="1">
      <alignment horizontal="center" vertical="center" wrapText="1"/>
      <protection hidden="1"/>
    </xf>
    <xf numFmtId="0" fontId="15" fillId="0" borderId="8" xfId="0" applyFont="1" applyFill="1" applyBorder="1" applyAlignment="1" applyProtection="1">
      <alignment horizontal="left" vertical="center" wrapText="1"/>
      <protection hidden="1"/>
    </xf>
    <xf numFmtId="0" fontId="15" fillId="0" borderId="19" xfId="0" applyFont="1" applyFill="1" applyBorder="1" applyAlignment="1" applyProtection="1">
      <alignment horizontal="left" vertical="center" wrapText="1"/>
      <protection hidden="1"/>
    </xf>
    <xf numFmtId="0" fontId="15" fillId="0" borderId="20" xfId="0" applyFont="1" applyFill="1" applyBorder="1" applyAlignment="1" applyProtection="1">
      <alignment horizontal="left" vertical="center" wrapText="1"/>
      <protection hidden="1"/>
    </xf>
    <xf numFmtId="0" fontId="15" fillId="0" borderId="13" xfId="0" applyFont="1" applyFill="1" applyBorder="1" applyAlignment="1" applyProtection="1">
      <alignment horizontal="left" vertical="center" wrapText="1"/>
      <protection hidden="1"/>
    </xf>
    <xf numFmtId="0" fontId="15" fillId="0" borderId="0" xfId="0" applyFont="1" applyFill="1" applyBorder="1" applyAlignment="1" applyProtection="1">
      <alignment horizontal="left" vertical="center" wrapText="1"/>
      <protection hidden="1"/>
    </xf>
    <xf numFmtId="0" fontId="15" fillId="0" borderId="21" xfId="0" applyFont="1" applyFill="1" applyBorder="1" applyAlignment="1" applyProtection="1">
      <alignment horizontal="left" vertical="center" wrapText="1"/>
      <protection hidden="1"/>
    </xf>
    <xf numFmtId="0" fontId="23" fillId="0" borderId="5" xfId="0" applyFont="1" applyFill="1" applyBorder="1" applyAlignment="1" applyProtection="1">
      <alignment horizontal="center" wrapText="1"/>
      <protection hidden="1"/>
    </xf>
    <xf numFmtId="0" fontId="9" fillId="6" borderId="9" xfId="1" applyFont="1" applyFill="1" applyBorder="1" applyAlignment="1">
      <alignment horizontal="center" wrapText="1"/>
    </xf>
    <xf numFmtId="0" fontId="15" fillId="0" borderId="0" xfId="0" applyFont="1" applyFill="1" applyAlignment="1">
      <alignment vertical="top" wrapText="1"/>
    </xf>
    <xf numFmtId="0" fontId="15" fillId="0" borderId="0" xfId="0" applyFont="1" applyFill="1" applyAlignment="1">
      <alignment horizontal="left" vertical="top" wrapText="1"/>
    </xf>
    <xf numFmtId="0" fontId="87" fillId="0" borderId="29" xfId="0" applyFont="1" applyFill="1" applyBorder="1" applyAlignment="1" applyProtection="1">
      <alignment horizontal="center" vertical="center" wrapText="1"/>
      <protection hidden="1"/>
    </xf>
    <xf numFmtId="0" fontId="87" fillId="0" borderId="0" xfId="0" applyFont="1" applyFill="1" applyBorder="1" applyAlignment="1" applyProtection="1">
      <alignment horizontal="center" vertical="center" wrapText="1"/>
      <protection hidden="1"/>
    </xf>
    <xf numFmtId="0" fontId="87" fillId="0" borderId="31" xfId="0" applyFont="1" applyFill="1" applyBorder="1" applyAlignment="1" applyProtection="1">
      <alignment horizontal="center" vertical="center" wrapText="1"/>
      <protection hidden="1"/>
    </xf>
    <xf numFmtId="0" fontId="87" fillId="0" borderId="5" xfId="0" applyFont="1" applyFill="1" applyBorder="1" applyAlignment="1" applyProtection="1">
      <alignment horizontal="center" vertical="center" wrapText="1"/>
      <protection hidden="1"/>
    </xf>
    <xf numFmtId="9" fontId="91" fillId="0" borderId="0" xfId="2" applyFont="1" applyFill="1" applyBorder="1" applyAlignment="1" applyProtection="1">
      <alignment horizontal="center" vertical="center" wrapText="1"/>
      <protection hidden="1"/>
    </xf>
    <xf numFmtId="9" fontId="91" fillId="0" borderId="30" xfId="2" applyFont="1" applyFill="1" applyBorder="1" applyAlignment="1" applyProtection="1">
      <alignment horizontal="center" vertical="center" wrapText="1"/>
      <protection hidden="1"/>
    </xf>
    <xf numFmtId="9" fontId="91" fillId="0" borderId="5" xfId="2" applyFont="1" applyFill="1" applyBorder="1" applyAlignment="1" applyProtection="1">
      <alignment horizontal="center" vertical="center" wrapText="1"/>
      <protection hidden="1"/>
    </xf>
    <xf numFmtId="9" fontId="91" fillId="0" borderId="32" xfId="2" applyFont="1" applyFill="1" applyBorder="1" applyAlignment="1" applyProtection="1">
      <alignment horizontal="center" vertical="center" wrapText="1"/>
      <protection hidden="1"/>
    </xf>
    <xf numFmtId="0" fontId="23" fillId="0" borderId="37" xfId="0" applyFont="1" applyBorder="1" applyAlignment="1">
      <alignment horizontal="right" wrapText="1"/>
    </xf>
    <xf numFmtId="0" fontId="23" fillId="0" borderId="39" xfId="0" applyFont="1" applyBorder="1" applyAlignment="1">
      <alignment horizontal="right" wrapText="1"/>
    </xf>
    <xf numFmtId="0" fontId="59" fillId="0" borderId="0" xfId="0" applyFont="1" applyFill="1" applyBorder="1" applyAlignment="1" applyProtection="1">
      <alignment horizontal="left" vertical="center" wrapText="1" indent="1"/>
      <protection hidden="1"/>
    </xf>
    <xf numFmtId="9" fontId="27" fillId="0" borderId="27" xfId="0" applyNumberFormat="1" applyFont="1" applyFill="1" applyBorder="1" applyAlignment="1" applyProtection="1">
      <alignment horizontal="center"/>
      <protection hidden="1"/>
    </xf>
    <xf numFmtId="9" fontId="27" fillId="0" borderId="33" xfId="0" applyNumberFormat="1" applyFont="1" applyFill="1" applyBorder="1" applyAlignment="1" applyProtection="1">
      <alignment horizontal="center"/>
      <protection hidden="1"/>
    </xf>
    <xf numFmtId="9" fontId="27" fillId="0" borderId="28" xfId="0" applyNumberFormat="1" applyFont="1" applyFill="1" applyBorder="1" applyAlignment="1" applyProtection="1">
      <alignment horizontal="center"/>
      <protection hidden="1"/>
    </xf>
    <xf numFmtId="0" fontId="23" fillId="0" borderId="27" xfId="0" applyFont="1" applyBorder="1" applyAlignment="1">
      <alignment horizontal="right" vertical="center" wrapText="1"/>
    </xf>
    <xf numFmtId="0" fontId="23" fillId="0" borderId="28" xfId="0" applyFont="1" applyBorder="1" applyAlignment="1">
      <alignment horizontal="right" vertical="center" wrapText="1"/>
    </xf>
    <xf numFmtId="0" fontId="23" fillId="0" borderId="31" xfId="0" applyFont="1" applyBorder="1" applyAlignment="1">
      <alignment horizontal="right" vertical="center" wrapText="1"/>
    </xf>
    <xf numFmtId="0" fontId="23" fillId="0" borderId="32" xfId="0" applyFont="1" applyBorder="1" applyAlignment="1">
      <alignment horizontal="right" vertical="center" wrapText="1"/>
    </xf>
    <xf numFmtId="9" fontId="23" fillId="22" borderId="34" xfId="0" applyNumberFormat="1" applyFont="1" applyFill="1" applyBorder="1" applyAlignment="1" applyProtection="1">
      <alignment horizontal="center" vertical="center"/>
      <protection hidden="1"/>
    </xf>
    <xf numFmtId="9" fontId="23" fillId="22" borderId="36" xfId="0" applyNumberFormat="1" applyFont="1" applyFill="1" applyBorder="1" applyAlignment="1" applyProtection="1">
      <alignment horizontal="center" vertical="center"/>
      <protection hidden="1"/>
    </xf>
    <xf numFmtId="9" fontId="0" fillId="0" borderId="29" xfId="0" applyNumberFormat="1" applyFill="1" applyBorder="1" applyAlignment="1">
      <alignment horizontal="center" vertical="center"/>
    </xf>
    <xf numFmtId="0" fontId="0" fillId="0" borderId="29" xfId="0" applyFill="1" applyBorder="1" applyAlignment="1">
      <alignment horizontal="center" vertical="center"/>
    </xf>
    <xf numFmtId="0" fontId="15" fillId="0" borderId="0" xfId="0" applyFont="1" applyAlignment="1" applyProtection="1">
      <alignment horizontal="center" wrapText="1"/>
    </xf>
    <xf numFmtId="166" fontId="9" fillId="0" borderId="0" xfId="1" applyNumberFormat="1" applyFont="1" applyFill="1" applyBorder="1" applyAlignment="1">
      <alignment horizontal="center" vertical="center" wrapText="1"/>
    </xf>
    <xf numFmtId="0" fontId="98" fillId="0" borderId="57" xfId="1" applyFont="1" applyFill="1" applyBorder="1" applyAlignment="1">
      <alignment horizontal="left" vertical="top" wrapText="1"/>
    </xf>
    <xf numFmtId="0" fontId="98" fillId="0" borderId="56" xfId="1" applyFont="1" applyFill="1" applyBorder="1" applyAlignment="1">
      <alignment horizontal="left" vertical="top" wrapText="1"/>
    </xf>
    <xf numFmtId="0" fontId="98" fillId="0" borderId="55" xfId="1" applyFont="1" applyFill="1" applyBorder="1" applyAlignment="1">
      <alignment horizontal="left" vertical="top" wrapText="1"/>
    </xf>
    <xf numFmtId="168" fontId="9" fillId="22" borderId="15" xfId="4" applyNumberFormat="1" applyFont="1" applyFill="1" applyBorder="1" applyAlignment="1">
      <alignment horizontal="center" vertical="center" wrapText="1"/>
    </xf>
    <xf numFmtId="0" fontId="23" fillId="0" borderId="0" xfId="0" applyFont="1" applyBorder="1" applyAlignment="1" applyProtection="1">
      <alignment horizontal="right" vertical="top" wrapText="1"/>
      <protection hidden="1"/>
    </xf>
    <xf numFmtId="0" fontId="23" fillId="0" borderId="27" xfId="0" applyFont="1" applyFill="1" applyBorder="1" applyAlignment="1" applyProtection="1">
      <alignment horizontal="center" vertical="center" wrapText="1"/>
      <protection hidden="1"/>
    </xf>
    <xf numFmtId="0" fontId="23" fillId="0" borderId="28" xfId="0" applyFont="1" applyFill="1" applyBorder="1" applyAlignment="1" applyProtection="1">
      <alignment horizontal="center" vertical="center" wrapText="1"/>
      <protection hidden="1"/>
    </xf>
    <xf numFmtId="0" fontId="23" fillId="0" borderId="31" xfId="0" applyFont="1" applyFill="1" applyBorder="1" applyAlignment="1" applyProtection="1">
      <alignment horizontal="center" vertical="center" wrapText="1"/>
      <protection hidden="1"/>
    </xf>
    <xf numFmtId="0" fontId="23" fillId="0" borderId="32" xfId="0" applyFont="1" applyFill="1" applyBorder="1" applyAlignment="1" applyProtection="1">
      <alignment horizontal="center" vertical="center" wrapText="1"/>
      <protection hidden="1"/>
    </xf>
    <xf numFmtId="49" fontId="9" fillId="22" borderId="34" xfId="1" applyNumberFormat="1" applyFont="1" applyFill="1" applyBorder="1" applyAlignment="1">
      <alignment horizontal="center" vertical="center" wrapText="1"/>
    </xf>
    <xf numFmtId="49" fontId="9" fillId="22" borderId="36" xfId="1" applyNumberFormat="1" applyFont="1" applyFill="1" applyBorder="1" applyAlignment="1">
      <alignment horizontal="center" vertical="center" wrapText="1"/>
    </xf>
    <xf numFmtId="14" fontId="9" fillId="22" borderId="34" xfId="1" applyNumberFormat="1" applyFont="1" applyFill="1" applyBorder="1" applyAlignment="1">
      <alignment horizontal="center" vertical="center" wrapText="1"/>
    </xf>
    <xf numFmtId="14" fontId="9" fillId="22" borderId="36" xfId="1" applyNumberFormat="1" applyFont="1" applyFill="1" applyBorder="1" applyAlignment="1">
      <alignment horizontal="center" vertical="center" wrapText="1"/>
    </xf>
    <xf numFmtId="0" fontId="15" fillId="0" borderId="29" xfId="0" applyFont="1" applyFill="1" applyBorder="1" applyAlignment="1" applyProtection="1">
      <alignment horizontal="center" vertical="center" wrapText="1"/>
      <protection hidden="1"/>
    </xf>
    <xf numFmtId="0" fontId="66" fillId="0" borderId="0" xfId="0" applyFont="1" applyBorder="1" applyAlignment="1">
      <alignment horizontal="left" wrapText="1" indent="1"/>
    </xf>
    <xf numFmtId="0" fontId="66" fillId="0" borderId="21" xfId="0" applyFont="1" applyBorder="1" applyAlignment="1">
      <alignment horizontal="left" wrapText="1" indent="1"/>
    </xf>
    <xf numFmtId="0" fontId="23" fillId="0" borderId="5" xfId="0" applyFont="1" applyFill="1" applyBorder="1" applyAlignment="1" applyProtection="1">
      <alignment horizontal="center" vertical="center" wrapText="1"/>
      <protection hidden="1"/>
    </xf>
    <xf numFmtId="0" fontId="15" fillId="0" borderId="0" xfId="0" applyFont="1" applyFill="1" applyBorder="1" applyAlignment="1">
      <alignment horizontal="left" vertical="top" wrapText="1"/>
    </xf>
    <xf numFmtId="0" fontId="30" fillId="25" borderId="57" xfId="3" applyFont="1" applyFill="1" applyBorder="1" applyAlignment="1" applyProtection="1">
      <alignment horizontal="center" vertical="center" wrapText="1"/>
      <protection hidden="1"/>
    </xf>
    <xf numFmtId="0" fontId="30" fillId="25" borderId="55" xfId="3" applyFont="1" applyFill="1" applyBorder="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23" fillId="0" borderId="29" xfId="0" applyFont="1" applyFill="1" applyBorder="1" applyAlignment="1" applyProtection="1">
      <alignment horizontal="center" vertical="center" wrapText="1"/>
      <protection hidden="1"/>
    </xf>
    <xf numFmtId="0" fontId="23" fillId="0" borderId="30" xfId="0" applyFont="1" applyFill="1" applyBorder="1" applyAlignment="1" applyProtection="1">
      <alignment horizontal="center" vertical="center" wrapText="1"/>
      <protection hidden="1"/>
    </xf>
    <xf numFmtId="0" fontId="38" fillId="0" borderId="0" xfId="0" applyFont="1" applyFill="1" applyBorder="1" applyAlignment="1">
      <alignment horizontal="left" vertical="top" wrapText="1"/>
    </xf>
    <xf numFmtId="9" fontId="23" fillId="0" borderId="27" xfId="2" applyFont="1" applyBorder="1" applyAlignment="1" applyProtection="1">
      <alignment horizontal="center" wrapText="1"/>
      <protection hidden="1"/>
    </xf>
    <xf numFmtId="9" fontId="23" fillId="0" borderId="33" xfId="2" applyFont="1" applyBorder="1" applyAlignment="1" applyProtection="1">
      <alignment horizontal="center" wrapText="1"/>
      <protection hidden="1"/>
    </xf>
    <xf numFmtId="9" fontId="23" fillId="0" borderId="28" xfId="2" applyFont="1" applyBorder="1" applyAlignment="1" applyProtection="1">
      <alignment horizontal="center" wrapText="1"/>
      <protection hidden="1"/>
    </xf>
    <xf numFmtId="9" fontId="23" fillId="0" borderId="29" xfId="2" applyFont="1" applyBorder="1" applyAlignment="1" applyProtection="1">
      <alignment horizontal="center" wrapText="1"/>
      <protection hidden="1"/>
    </xf>
    <xf numFmtId="9" fontId="23" fillId="0" borderId="0" xfId="2" applyFont="1" applyBorder="1" applyAlignment="1" applyProtection="1">
      <alignment horizontal="center" wrapText="1"/>
      <protection hidden="1"/>
    </xf>
    <xf numFmtId="9" fontId="23" fillId="0" borderId="30" xfId="2" applyFont="1" applyBorder="1" applyAlignment="1" applyProtection="1">
      <alignment horizontal="center" wrapText="1"/>
      <protection hidden="1"/>
    </xf>
    <xf numFmtId="1" fontId="55" fillId="0" borderId="31" xfId="0" applyNumberFormat="1" applyFont="1" applyBorder="1" applyAlignment="1" applyProtection="1">
      <alignment horizontal="center"/>
      <protection hidden="1"/>
    </xf>
    <xf numFmtId="1" fontId="55" fillId="0" borderId="5" xfId="0" applyNumberFormat="1" applyFont="1" applyBorder="1" applyAlignment="1" applyProtection="1">
      <alignment horizontal="center"/>
      <protection hidden="1"/>
    </xf>
    <xf numFmtId="1" fontId="55" fillId="0" borderId="32" xfId="0" applyNumberFormat="1" applyFont="1" applyBorder="1" applyAlignment="1" applyProtection="1">
      <alignment horizontal="center"/>
      <protection hidden="1"/>
    </xf>
    <xf numFmtId="0" fontId="23" fillId="0" borderId="27" xfId="0" applyFont="1" applyBorder="1" applyAlignment="1" applyProtection="1">
      <alignment horizontal="right" vertical="top" wrapText="1"/>
      <protection hidden="1"/>
    </xf>
    <xf numFmtId="0" fontId="23" fillId="0" borderId="28" xfId="0" applyFont="1" applyBorder="1" applyAlignment="1" applyProtection="1">
      <alignment horizontal="right" vertical="top" wrapText="1"/>
      <protection hidden="1"/>
    </xf>
    <xf numFmtId="0" fontId="23" fillId="0" borderId="31" xfId="0" applyFont="1" applyBorder="1" applyAlignment="1" applyProtection="1">
      <alignment horizontal="right" vertical="top" wrapText="1"/>
      <protection hidden="1"/>
    </xf>
    <xf numFmtId="0" fontId="23" fillId="0" borderId="32" xfId="0" applyFont="1" applyBorder="1" applyAlignment="1" applyProtection="1">
      <alignment horizontal="right" vertical="top" wrapText="1"/>
      <protection hidden="1"/>
    </xf>
    <xf numFmtId="168" fontId="9" fillId="22" borderId="34" xfId="4" applyNumberFormat="1" applyFont="1" applyFill="1" applyBorder="1" applyAlignment="1">
      <alignment vertical="center" wrapText="1"/>
    </xf>
    <xf numFmtId="168" fontId="9" fillId="22" borderId="36" xfId="4" applyNumberFormat="1" applyFont="1" applyFill="1" applyBorder="1" applyAlignment="1">
      <alignment vertical="center" wrapText="1"/>
    </xf>
    <xf numFmtId="0" fontId="23" fillId="0" borderId="0" xfId="0" applyFont="1" applyBorder="1" applyAlignment="1" applyProtection="1">
      <alignment horizontal="left" vertical="center" wrapText="1"/>
      <protection hidden="1"/>
    </xf>
    <xf numFmtId="0" fontId="95" fillId="0" borderId="0" xfId="0" applyFont="1" applyBorder="1" applyAlignment="1" applyProtection="1">
      <alignment horizontal="left" vertical="top" wrapText="1"/>
      <protection hidden="1"/>
    </xf>
    <xf numFmtId="0" fontId="15" fillId="0" borderId="0" xfId="0" applyFont="1" applyFill="1" applyAlignment="1">
      <alignment horizontal="left" wrapText="1"/>
    </xf>
    <xf numFmtId="0" fontId="50" fillId="26" borderId="25" xfId="3" applyFont="1" applyFill="1" applyBorder="1" applyAlignment="1" applyProtection="1">
      <alignment horizontal="center" vertical="center" wrapText="1"/>
      <protection hidden="1"/>
    </xf>
    <xf numFmtId="0" fontId="50" fillId="26" borderId="72" xfId="3" applyFont="1" applyFill="1" applyBorder="1" applyAlignment="1" applyProtection="1">
      <alignment horizontal="center" vertical="center" wrapText="1"/>
      <protection hidden="1"/>
    </xf>
    <xf numFmtId="0" fontId="50" fillId="26" borderId="26" xfId="3" applyFont="1" applyFill="1" applyBorder="1" applyAlignment="1" applyProtection="1">
      <alignment horizontal="center" vertical="center" wrapText="1"/>
      <protection hidden="1"/>
    </xf>
    <xf numFmtId="0" fontId="23" fillId="0" borderId="0" xfId="0" applyFont="1" applyBorder="1" applyAlignment="1" applyProtection="1">
      <alignment horizontal="left" vertical="top" wrapText="1"/>
      <protection hidden="1"/>
    </xf>
    <xf numFmtId="0" fontId="30" fillId="26" borderId="25" xfId="3" applyFont="1" applyFill="1" applyBorder="1" applyAlignment="1" applyProtection="1">
      <alignment horizontal="center" vertical="center" wrapText="1"/>
      <protection hidden="1"/>
    </xf>
    <xf numFmtId="0" fontId="30" fillId="26" borderId="72" xfId="3" applyFont="1" applyFill="1" applyBorder="1" applyAlignment="1" applyProtection="1">
      <alignment horizontal="center" vertical="center" wrapText="1"/>
      <protection hidden="1"/>
    </xf>
    <xf numFmtId="0" fontId="30" fillId="26" borderId="26" xfId="3" applyFont="1" applyFill="1" applyBorder="1" applyAlignment="1" applyProtection="1">
      <alignment horizontal="center" vertical="center" wrapText="1"/>
      <protection hidden="1"/>
    </xf>
    <xf numFmtId="0" fontId="50" fillId="12" borderId="25" xfId="3" applyFont="1" applyFill="1" applyBorder="1" applyAlignment="1" applyProtection="1">
      <alignment horizontal="center" vertical="center" wrapText="1"/>
      <protection hidden="1"/>
    </xf>
    <xf numFmtId="0" fontId="50" fillId="12" borderId="72" xfId="3" applyFont="1" applyFill="1" applyBorder="1" applyAlignment="1" applyProtection="1">
      <alignment horizontal="center" vertical="center" wrapText="1"/>
      <protection hidden="1"/>
    </xf>
    <xf numFmtId="0" fontId="50" fillId="12" borderId="26" xfId="3" applyFont="1" applyFill="1" applyBorder="1" applyAlignment="1" applyProtection="1">
      <alignment horizontal="center" vertical="center" wrapText="1"/>
      <protection hidden="1"/>
    </xf>
    <xf numFmtId="0" fontId="53" fillId="29" borderId="57" xfId="0" applyFont="1" applyFill="1" applyBorder="1" applyAlignment="1">
      <alignment horizontal="center"/>
    </xf>
    <xf numFmtId="0" fontId="53" fillId="29" borderId="55" xfId="0" applyFont="1" applyFill="1" applyBorder="1" applyAlignment="1">
      <alignment horizontal="center"/>
    </xf>
    <xf numFmtId="0" fontId="50" fillId="10" borderId="8" xfId="3" applyFont="1" applyFill="1" applyBorder="1" applyAlignment="1" applyProtection="1">
      <alignment horizontal="center" vertical="center" wrapText="1"/>
      <protection hidden="1"/>
    </xf>
    <xf numFmtId="0" fontId="50" fillId="10" borderId="20" xfId="3" applyFont="1" applyFill="1" applyBorder="1" applyAlignment="1" applyProtection="1">
      <alignment horizontal="center" vertical="center" wrapText="1"/>
      <protection hidden="1"/>
    </xf>
    <xf numFmtId="0" fontId="50" fillId="10" borderId="13" xfId="3" applyFont="1" applyFill="1" applyBorder="1" applyAlignment="1" applyProtection="1">
      <alignment horizontal="center" vertical="center" wrapText="1"/>
      <protection hidden="1"/>
    </xf>
    <xf numFmtId="0" fontId="50" fillId="10" borderId="21" xfId="3" applyFont="1" applyFill="1" applyBorder="1" applyAlignment="1" applyProtection="1">
      <alignment horizontal="center" vertical="center" wrapText="1"/>
      <protection hidden="1"/>
    </xf>
    <xf numFmtId="0" fontId="50" fillId="10" borderId="14" xfId="3" applyFont="1" applyFill="1" applyBorder="1" applyAlignment="1" applyProtection="1">
      <alignment horizontal="center" vertical="center" wrapText="1"/>
      <protection hidden="1"/>
    </xf>
    <xf numFmtId="0" fontId="50" fillId="10" borderId="24" xfId="3" applyFont="1" applyFill="1" applyBorder="1" applyAlignment="1" applyProtection="1">
      <alignment horizontal="center" vertical="center" wrapText="1"/>
      <protection hidden="1"/>
    </xf>
    <xf numFmtId="0" fontId="50" fillId="27" borderId="25" xfId="3" applyFont="1" applyFill="1" applyBorder="1" applyAlignment="1" applyProtection="1">
      <alignment horizontal="center" vertical="center" wrapText="1"/>
      <protection hidden="1"/>
    </xf>
    <xf numFmtId="0" fontId="50" fillId="27" borderId="72" xfId="3" applyFont="1" applyFill="1" applyBorder="1" applyAlignment="1" applyProtection="1">
      <alignment horizontal="center" vertical="center" wrapText="1"/>
      <protection hidden="1"/>
    </xf>
    <xf numFmtId="0" fontId="50" fillId="27" borderId="26" xfId="3" applyFont="1" applyFill="1" applyBorder="1" applyAlignment="1" applyProtection="1">
      <alignment horizontal="center" vertical="center" wrapText="1"/>
      <protection hidden="1"/>
    </xf>
    <xf numFmtId="0" fontId="27" fillId="0" borderId="27" xfId="0" applyFont="1" applyFill="1" applyBorder="1" applyAlignment="1" applyProtection="1">
      <alignment horizontal="center" vertical="center" wrapText="1"/>
      <protection hidden="1"/>
    </xf>
    <xf numFmtId="0" fontId="27" fillId="0" borderId="28" xfId="0" applyFont="1" applyFill="1" applyBorder="1" applyAlignment="1" applyProtection="1">
      <alignment horizontal="center" vertical="center" wrapText="1"/>
      <protection hidden="1"/>
    </xf>
    <xf numFmtId="0" fontId="27" fillId="0" borderId="27" xfId="0" applyFont="1" applyFill="1" applyBorder="1" applyAlignment="1" applyProtection="1">
      <alignment horizontal="center"/>
      <protection hidden="1"/>
    </xf>
    <xf numFmtId="0" fontId="27" fillId="0" borderId="28" xfId="0" applyFont="1" applyFill="1" applyBorder="1" applyAlignment="1" applyProtection="1">
      <alignment horizontal="center"/>
      <protection hidden="1"/>
    </xf>
    <xf numFmtId="0" fontId="27" fillId="0" borderId="27" xfId="0" applyFont="1" applyFill="1" applyBorder="1" applyAlignment="1">
      <alignment horizontal="center"/>
    </xf>
    <xf numFmtId="0" fontId="27" fillId="0" borderId="28" xfId="0" applyFont="1" applyFill="1" applyBorder="1" applyAlignment="1">
      <alignment horizontal="center"/>
    </xf>
    <xf numFmtId="0" fontId="49" fillId="0" borderId="0" xfId="0" applyFont="1" applyBorder="1" applyAlignment="1" applyProtection="1">
      <alignment horizontal="center"/>
      <protection hidden="1"/>
    </xf>
    <xf numFmtId="0" fontId="49" fillId="0" borderId="30" xfId="0" applyFont="1" applyBorder="1" applyAlignment="1" applyProtection="1">
      <alignment horizontal="center"/>
      <protection hidden="1"/>
    </xf>
    <xf numFmtId="0" fontId="95" fillId="0" borderId="13" xfId="0" applyFont="1" applyBorder="1" applyAlignment="1" applyProtection="1">
      <alignment horizontal="left" indent="3"/>
      <protection hidden="1"/>
    </xf>
    <xf numFmtId="0" fontId="95" fillId="0" borderId="0" xfId="0" applyFont="1" applyBorder="1" applyAlignment="1" applyProtection="1">
      <alignment horizontal="left" indent="3"/>
      <protection hidden="1"/>
    </xf>
    <xf numFmtId="0" fontId="95" fillId="0" borderId="21" xfId="0" applyFont="1" applyBorder="1" applyAlignment="1" applyProtection="1">
      <alignment horizontal="left" indent="3"/>
      <protection hidden="1"/>
    </xf>
    <xf numFmtId="0" fontId="23" fillId="0" borderId="21" xfId="5" applyFont="1" applyFill="1" applyBorder="1" applyAlignment="1">
      <alignment horizontal="center" wrapText="1"/>
    </xf>
    <xf numFmtId="0" fontId="102" fillId="0" borderId="8" xfId="5" applyFont="1" applyFill="1" applyBorder="1" applyAlignment="1">
      <alignment horizontal="left" vertical="top" wrapText="1"/>
    </xf>
    <xf numFmtId="0" fontId="102" fillId="0" borderId="19" xfId="5" applyFont="1" applyFill="1" applyBorder="1" applyAlignment="1">
      <alignment horizontal="left" vertical="top" wrapText="1"/>
    </xf>
    <xf numFmtId="0" fontId="102" fillId="0" borderId="20" xfId="5" applyFont="1" applyFill="1" applyBorder="1" applyAlignment="1">
      <alignment horizontal="left" vertical="top" wrapText="1"/>
    </xf>
    <xf numFmtId="0" fontId="102" fillId="0" borderId="13" xfId="5" applyFont="1" applyFill="1" applyBorder="1" applyAlignment="1">
      <alignment horizontal="left" vertical="top" wrapText="1"/>
    </xf>
    <xf numFmtId="0" fontId="102" fillId="0" borderId="0" xfId="5" applyFont="1" applyFill="1" applyBorder="1" applyAlignment="1">
      <alignment horizontal="left" vertical="top" wrapText="1"/>
    </xf>
    <xf numFmtId="0" fontId="102" fillId="0" borderId="21" xfId="5" applyFont="1" applyFill="1" applyBorder="1" applyAlignment="1">
      <alignment horizontal="left" vertical="top" wrapText="1"/>
    </xf>
    <xf numFmtId="0" fontId="102" fillId="0" borderId="14" xfId="5" applyFont="1" applyFill="1" applyBorder="1" applyAlignment="1">
      <alignment horizontal="left" vertical="top" wrapText="1"/>
    </xf>
    <xf numFmtId="0" fontId="102" fillId="0" borderId="23" xfId="5" applyFont="1" applyFill="1" applyBorder="1" applyAlignment="1">
      <alignment horizontal="left" vertical="top" wrapText="1"/>
    </xf>
    <xf numFmtId="0" fontId="102" fillId="0" borderId="24" xfId="5" applyFont="1" applyFill="1" applyBorder="1" applyAlignment="1">
      <alignment horizontal="left" vertical="top" wrapText="1"/>
    </xf>
    <xf numFmtId="0" fontId="23" fillId="0" borderId="13" xfId="5" applyFont="1" applyFill="1" applyBorder="1" applyAlignment="1">
      <alignment horizontal="center" vertical="top"/>
    </xf>
    <xf numFmtId="0" fontId="23" fillId="0" borderId="0" xfId="5" applyFont="1" applyFill="1" applyBorder="1" applyAlignment="1">
      <alignment horizontal="center" vertical="top"/>
    </xf>
    <xf numFmtId="0" fontId="23" fillId="0" borderId="21" xfId="5" applyFont="1" applyFill="1" applyBorder="1" applyAlignment="1">
      <alignment horizontal="center" vertical="top"/>
    </xf>
    <xf numFmtId="0" fontId="23" fillId="0" borderId="29" xfId="5" applyFont="1" applyFill="1" applyBorder="1" applyAlignment="1">
      <alignment horizontal="left" wrapText="1"/>
    </xf>
    <xf numFmtId="0" fontId="23" fillId="0" borderId="0" xfId="5" applyFont="1" applyFill="1" applyBorder="1" applyAlignment="1">
      <alignment horizontal="left" wrapText="1"/>
    </xf>
    <xf numFmtId="14" fontId="23" fillId="0" borderId="42" xfId="0" applyNumberFormat="1" applyFont="1" applyBorder="1" applyAlignment="1">
      <alignment horizontal="center" vertical="center"/>
    </xf>
    <xf numFmtId="14" fontId="23" fillId="0" borderId="44" xfId="0" applyNumberFormat="1" applyFont="1" applyBorder="1" applyAlignment="1">
      <alignment horizontal="center" vertical="center"/>
    </xf>
    <xf numFmtId="0" fontId="23" fillId="0" borderId="43" xfId="0" applyFont="1" applyBorder="1" applyAlignment="1">
      <alignment horizontal="center" vertical="center" wrapText="1"/>
    </xf>
    <xf numFmtId="0" fontId="23" fillId="0" borderId="45" xfId="0" applyFont="1" applyBorder="1" applyAlignment="1">
      <alignment horizontal="center" vertical="center" wrapText="1"/>
    </xf>
    <xf numFmtId="0" fontId="30" fillId="0" borderId="0" xfId="0" applyFont="1" applyFill="1" applyBorder="1" applyAlignment="1" applyProtection="1">
      <alignment horizontal="center" vertical="center" wrapText="1"/>
      <protection hidden="1"/>
    </xf>
    <xf numFmtId="0" fontId="30" fillId="20" borderId="25" xfId="3" applyFont="1" applyFill="1" applyBorder="1" applyAlignment="1" applyProtection="1">
      <alignment horizontal="center" vertical="center" wrapText="1"/>
      <protection hidden="1"/>
    </xf>
    <xf numFmtId="0" fontId="30" fillId="20" borderId="72" xfId="3" applyFont="1" applyFill="1" applyBorder="1" applyAlignment="1" applyProtection="1">
      <alignment horizontal="center" vertical="center" wrapText="1"/>
      <protection hidden="1"/>
    </xf>
    <xf numFmtId="0" fontId="30" fillId="20" borderId="26" xfId="3" applyFont="1" applyFill="1" applyBorder="1" applyAlignment="1" applyProtection="1">
      <alignment horizontal="center" vertical="center" wrapText="1"/>
      <protection hidden="1"/>
    </xf>
    <xf numFmtId="0" fontId="15" fillId="0" borderId="0" xfId="5" applyFont="1" applyFill="1" applyBorder="1" applyAlignment="1">
      <alignment horizontal="left" vertical="top" wrapText="1"/>
    </xf>
    <xf numFmtId="0" fontId="15" fillId="0" borderId="23" xfId="5" applyFont="1" applyFill="1" applyBorder="1" applyAlignment="1">
      <alignment horizontal="left" vertical="top" wrapText="1"/>
    </xf>
    <xf numFmtId="0" fontId="30" fillId="10" borderId="25" xfId="3" applyFont="1" applyFill="1" applyBorder="1" applyAlignment="1" applyProtection="1">
      <alignment horizontal="center" vertical="center" wrapText="1"/>
      <protection hidden="1"/>
    </xf>
    <xf numFmtId="0" fontId="30" fillId="10" borderId="72" xfId="3" applyFont="1" applyFill="1" applyBorder="1" applyAlignment="1" applyProtection="1">
      <alignment horizontal="center" vertical="center" wrapText="1"/>
      <protection hidden="1"/>
    </xf>
    <xf numFmtId="0" fontId="30" fillId="10" borderId="26" xfId="3" applyFont="1" applyFill="1" applyBorder="1" applyAlignment="1" applyProtection="1">
      <alignment horizontal="center" vertical="center" wrapText="1"/>
      <protection hidden="1"/>
    </xf>
    <xf numFmtId="0" fontId="30" fillId="25" borderId="8" xfId="3" applyFont="1" applyFill="1" applyBorder="1" applyAlignment="1" applyProtection="1">
      <alignment horizontal="center" vertical="center" wrapText="1"/>
      <protection hidden="1"/>
    </xf>
    <xf numFmtId="0" fontId="30" fillId="25" borderId="20" xfId="3" applyFont="1" applyFill="1" applyBorder="1" applyAlignment="1" applyProtection="1">
      <alignment horizontal="center" vertical="center" wrapText="1"/>
      <protection hidden="1"/>
    </xf>
    <xf numFmtId="0" fontId="30" fillId="25" borderId="13" xfId="3" applyFont="1" applyFill="1" applyBorder="1" applyAlignment="1" applyProtection="1">
      <alignment horizontal="center" vertical="center" wrapText="1"/>
      <protection hidden="1"/>
    </xf>
    <xf numFmtId="0" fontId="30" fillId="25" borderId="21" xfId="3" applyFont="1" applyFill="1" applyBorder="1" applyAlignment="1" applyProtection="1">
      <alignment horizontal="center" vertical="center" wrapText="1"/>
      <protection hidden="1"/>
    </xf>
    <xf numFmtId="0" fontId="30" fillId="25" borderId="14" xfId="3" applyFont="1" applyFill="1" applyBorder="1" applyAlignment="1" applyProtection="1">
      <alignment horizontal="center" vertical="center" wrapText="1"/>
      <protection hidden="1"/>
    </xf>
    <xf numFmtId="0" fontId="30" fillId="25" borderId="24" xfId="3" applyFont="1" applyFill="1" applyBorder="1" applyAlignment="1" applyProtection="1">
      <alignment horizontal="center" vertical="center" wrapText="1"/>
      <protection hidden="1"/>
    </xf>
    <xf numFmtId="0" fontId="62" fillId="0" borderId="0" xfId="0" applyFont="1" applyBorder="1" applyAlignment="1">
      <alignment horizontal="center" wrapText="1"/>
    </xf>
    <xf numFmtId="0" fontId="62" fillId="0" borderId="0" xfId="0" applyFont="1" applyBorder="1" applyAlignment="1">
      <alignment horizontal="center"/>
    </xf>
    <xf numFmtId="0" fontId="15" fillId="0" borderId="0" xfId="5" applyFont="1" applyFill="1" applyBorder="1" applyAlignment="1">
      <alignment horizontal="center" vertical="top"/>
    </xf>
    <xf numFmtId="0" fontId="23" fillId="0" borderId="0" xfId="5" applyFont="1" applyFill="1" applyBorder="1" applyAlignment="1">
      <alignment horizontal="center" wrapText="1"/>
    </xf>
    <xf numFmtId="0" fontId="15" fillId="0" borderId="13" xfId="5" applyFont="1" applyFill="1" applyBorder="1" applyAlignment="1">
      <alignment horizontal="left" vertical="top" wrapText="1"/>
    </xf>
    <xf numFmtId="0" fontId="15" fillId="0" borderId="21" xfId="5" applyFont="1" applyFill="1" applyBorder="1" applyAlignment="1">
      <alignment horizontal="left" vertical="top" wrapText="1"/>
    </xf>
    <xf numFmtId="0" fontId="103" fillId="0" borderId="8" xfId="0" applyFont="1" applyBorder="1" applyAlignment="1">
      <alignment horizontal="left" wrapText="1"/>
    </xf>
    <xf numFmtId="0" fontId="103" fillId="0" borderId="13" xfId="0" applyFont="1" applyBorder="1" applyAlignment="1">
      <alignment horizontal="left" wrapText="1"/>
    </xf>
    <xf numFmtId="0" fontId="102" fillId="0" borderId="8" xfId="0" applyFont="1" applyBorder="1"/>
    <xf numFmtId="0" fontId="102" fillId="0" borderId="19" xfId="0" applyFont="1" applyBorder="1"/>
    <xf numFmtId="0" fontId="102" fillId="0" borderId="20" xfId="0" applyFont="1" applyBorder="1"/>
    <xf numFmtId="0" fontId="102" fillId="0" borderId="14" xfId="0" applyFont="1" applyBorder="1"/>
    <xf numFmtId="0" fontId="102" fillId="0" borderId="23" xfId="0" applyFont="1" applyBorder="1"/>
    <xf numFmtId="0" fontId="102" fillId="0" borderId="24" xfId="0" applyFont="1" applyBorder="1"/>
    <xf numFmtId="0" fontId="0" fillId="0" borderId="0" xfId="0" applyFill="1" applyBorder="1" applyAlignment="1">
      <alignment horizontal="center" wrapText="1"/>
    </xf>
    <xf numFmtId="0" fontId="30" fillId="12" borderId="25" xfId="3" applyFont="1" applyFill="1" applyBorder="1" applyAlignment="1" applyProtection="1">
      <alignment horizontal="center" vertical="center" wrapText="1"/>
      <protection hidden="1"/>
    </xf>
    <xf numFmtId="0" fontId="30" fillId="12" borderId="72" xfId="3" applyFont="1" applyFill="1" applyBorder="1" applyAlignment="1" applyProtection="1">
      <alignment horizontal="center" vertical="center" wrapText="1"/>
      <protection hidden="1"/>
    </xf>
    <xf numFmtId="0" fontId="30" fillId="12" borderId="26" xfId="3" applyFont="1" applyFill="1" applyBorder="1" applyAlignment="1" applyProtection="1">
      <alignment horizontal="center" vertical="center" wrapText="1"/>
      <protection hidden="1"/>
    </xf>
    <xf numFmtId="0" fontId="102" fillId="0" borderId="8" xfId="0" applyFont="1" applyBorder="1" applyAlignment="1">
      <alignment horizontal="left" vertical="top" wrapText="1"/>
    </xf>
    <xf numFmtId="0" fontId="102" fillId="0" borderId="19" xfId="0" applyFont="1" applyBorder="1" applyAlignment="1">
      <alignment horizontal="left" vertical="top" wrapText="1"/>
    </xf>
    <xf numFmtId="0" fontId="102" fillId="0" borderId="20" xfId="0" applyFont="1" applyBorder="1" applyAlignment="1">
      <alignment horizontal="left" vertical="top" wrapText="1"/>
    </xf>
    <xf numFmtId="0" fontId="102" fillId="0" borderId="13" xfId="0" applyFont="1" applyBorder="1" applyAlignment="1">
      <alignment horizontal="left" vertical="top" wrapText="1"/>
    </xf>
    <xf numFmtId="0" fontId="102" fillId="0" borderId="0" xfId="0" applyFont="1" applyBorder="1" applyAlignment="1">
      <alignment horizontal="left" vertical="top" wrapText="1"/>
    </xf>
    <xf numFmtId="0" fontId="102" fillId="0" borderId="21" xfId="0" applyFont="1" applyBorder="1" applyAlignment="1">
      <alignment horizontal="left" vertical="top" wrapText="1"/>
    </xf>
    <xf numFmtId="0" fontId="102" fillId="0" borderId="14" xfId="0" applyFont="1" applyBorder="1" applyAlignment="1">
      <alignment horizontal="left" vertical="top" wrapText="1"/>
    </xf>
    <xf numFmtId="0" fontId="102" fillId="0" borderId="23" xfId="0" applyFont="1" applyBorder="1" applyAlignment="1">
      <alignment horizontal="left" vertical="top" wrapText="1"/>
    </xf>
    <xf numFmtId="0" fontId="102" fillId="0" borderId="24" xfId="0" applyFont="1" applyBorder="1" applyAlignment="1">
      <alignment horizontal="left" vertical="top" wrapText="1"/>
    </xf>
    <xf numFmtId="1" fontId="15" fillId="0" borderId="0" xfId="0" applyNumberFormat="1" applyFont="1" applyAlignment="1">
      <alignment horizontal="center" wrapText="1"/>
    </xf>
    <xf numFmtId="1" fontId="0" fillId="0" borderId="0" xfId="0" applyNumberFormat="1" applyAlignment="1">
      <alignment horizontal="center" wrapText="1"/>
    </xf>
    <xf numFmtId="0" fontId="15" fillId="11" borderId="0" xfId="0" applyFont="1" applyFill="1" applyAlignment="1">
      <alignment horizontal="center"/>
    </xf>
    <xf numFmtId="0" fontId="27" fillId="6" borderId="86" xfId="0" applyFont="1" applyFill="1" applyBorder="1" applyAlignment="1">
      <alignment horizontal="center" wrapText="1"/>
    </xf>
    <xf numFmtId="0" fontId="27" fillId="6" borderId="87" xfId="0" applyFont="1" applyFill="1" applyBorder="1" applyAlignment="1">
      <alignment horizontal="center" wrapText="1"/>
    </xf>
    <xf numFmtId="0" fontId="23" fillId="0" borderId="0" xfId="0" applyFont="1" applyAlignment="1">
      <alignment horizontal="center" wrapText="1"/>
    </xf>
    <xf numFmtId="0" fontId="15" fillId="0" borderId="0" xfId="0" applyFont="1" applyAlignment="1">
      <alignment horizontal="left" wrapText="1"/>
    </xf>
    <xf numFmtId="0" fontId="15" fillId="0" borderId="0" xfId="0" applyFont="1" applyAlignment="1">
      <alignment horizontal="left" vertical="top" wrapText="1"/>
    </xf>
    <xf numFmtId="0" fontId="0" fillId="0" borderId="29" xfId="0" applyFill="1" applyBorder="1" applyAlignment="1" applyProtection="1">
      <alignment horizontal="left" vertical="center" wrapText="1"/>
      <protection hidden="1"/>
    </xf>
  </cellXfs>
  <cellStyles count="12">
    <cellStyle name="Code" xfId="8"/>
    <cellStyle name="Comma" xfId="4" builtinId="3"/>
    <cellStyle name="Comma 2" xfId="6"/>
    <cellStyle name="Formula" xfId="9"/>
    <cellStyle name="Hyperlink" xfId="3" builtinId="8"/>
    <cellStyle name="Label" xfId="10"/>
    <cellStyle name="LabelCtrAcr" xfId="11"/>
    <cellStyle name="Normal" xfId="0" builtinId="0"/>
    <cellStyle name="Normal 2" xfId="1"/>
    <cellStyle name="Normal 3" xfId="5"/>
    <cellStyle name="Percent" xfId="2" builtinId="5"/>
    <cellStyle name="Percent 2" xfId="7"/>
  </cellStyles>
  <dxfs count="18">
    <dxf>
      <border>
        <bottom style="thin">
          <color auto="1"/>
        </bottom>
        <vertical/>
        <horizontal/>
      </border>
    </dxf>
    <dxf>
      <border>
        <left/>
        <right/>
        <top/>
        <bottom style="thin">
          <color auto="1"/>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fill>
        <patternFill patternType="none">
          <bgColor auto="1"/>
        </patternFill>
      </fill>
    </dxf>
    <dxf>
      <font>
        <b/>
        <i val="0"/>
        <color rgb="FFC00000"/>
      </font>
    </dxf>
    <dxf>
      <border>
        <left style="thin">
          <color auto="1"/>
        </left>
        <vertical/>
        <horizontal/>
      </border>
    </dxf>
    <dxf>
      <border>
        <left/>
        <right/>
        <top/>
        <bottom style="thin">
          <color auto="1"/>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fgColor indexed="64"/>
          <bgColor auto="1"/>
        </patternFill>
      </fill>
      <border>
        <left/>
        <right/>
        <top/>
        <bottom/>
      </border>
    </dxf>
    <dxf>
      <font>
        <color theme="1" tint="0.24994659260841701"/>
      </font>
      <fill>
        <patternFill>
          <bgColor theme="1" tint="0.24994659260841701"/>
        </patternFill>
      </fill>
    </dxf>
    <dxf>
      <font>
        <color theme="1" tint="0.24994659260841701"/>
      </font>
      <fill>
        <patternFill>
          <bgColor theme="1" tint="0.24994659260841701"/>
        </patternFill>
      </fill>
    </dxf>
    <dxf>
      <font>
        <strike val="0"/>
        <condense val="0"/>
        <extend val="0"/>
        <color indexed="9"/>
      </font>
      <fill>
        <patternFill patternType="none">
          <bgColor indexed="65"/>
        </patternFill>
      </fill>
    </dxf>
    <dxf>
      <font>
        <strike val="0"/>
        <condense val="0"/>
        <extend val="0"/>
        <color indexed="9"/>
      </font>
      <fill>
        <patternFill patternType="none">
          <bgColor indexed="65"/>
        </patternFill>
      </fill>
    </dxf>
    <dxf>
      <font>
        <color theme="1" tint="0.24994659260841701"/>
      </font>
      <fill>
        <patternFill>
          <bgColor theme="1" tint="0.24994659260841701"/>
        </patternFill>
      </fill>
    </dxf>
    <dxf>
      <font>
        <color theme="1" tint="0.24994659260841701"/>
      </font>
      <fill>
        <patternFill>
          <bgColor theme="1" tint="0.24994659260841701"/>
        </patternFill>
      </fill>
    </dxf>
    <dxf>
      <fill>
        <gradientFill degree="180">
          <stop position="0">
            <color theme="9" tint="0.80001220740379042"/>
          </stop>
          <stop position="1">
            <color theme="9" tint="-0.25098422193060094"/>
          </stop>
        </gradient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FFE1E2"/>
      <rgbColor rgb="00FEFAF4"/>
      <rgbColor rgb="00FFCCFF"/>
      <rgbColor rgb="0000CCFF"/>
      <rgbColor rgb="00CCFFFF"/>
      <rgbColor rgb="00CCFFCC"/>
      <rgbColor rgb="00E9E9E9"/>
      <rgbColor rgb="0099CCFF"/>
      <rgbColor rgb="00FF99CC"/>
      <rgbColor rgb="00CC99FF"/>
      <rgbColor rgb="00FEFBF6"/>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5F5F5F"/>
    </indexedColors>
    <mruColors>
      <color rgb="FFFFE7E7"/>
      <color rgb="FFAFFFAF"/>
      <color rgb="FFFFFF99"/>
      <color rgb="FF66FF66"/>
      <color rgb="FFEDCAC9"/>
      <color rgb="FF00FFFF"/>
      <color rgb="FFFF5050"/>
      <color rgb="FFBAE18F"/>
      <color rgb="FFFFFF00"/>
      <color rgb="FFF8A6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kern="1000" baseline="0"/>
            </a:pPr>
            <a:r>
              <a:rPr lang="en-US" sz="1100" kern="1000" baseline="0"/>
              <a:t>Actual and Forecasted Unmitigated Cumulative Case Counts</a:t>
            </a:r>
          </a:p>
        </c:rich>
      </c:tx>
      <c:layout/>
      <c:overlay val="0"/>
      <c:spPr>
        <a:noFill/>
      </c:spPr>
    </c:title>
    <c:autoTitleDeleted val="0"/>
    <c:plotArea>
      <c:layout>
        <c:manualLayout>
          <c:layoutTarget val="inner"/>
          <c:xMode val="edge"/>
          <c:yMode val="edge"/>
          <c:x val="0.13956445231047776"/>
          <c:y val="0.27659718984232445"/>
          <c:w val="0.82492535872623995"/>
          <c:h val="0.5445964298968331"/>
        </c:manualLayout>
      </c:layout>
      <c:barChart>
        <c:barDir val="col"/>
        <c:grouping val="clustered"/>
        <c:varyColors val="0"/>
        <c:ser>
          <c:idx val="3"/>
          <c:order val="2"/>
          <c:tx>
            <c:v>Detected</c:v>
          </c:tx>
          <c:spPr>
            <a:solidFill>
              <a:schemeClr val="accent2"/>
            </a:solidFill>
            <a:ln w="0">
              <a:solidFill>
                <a:srgbClr val="C00000"/>
              </a:solidFill>
            </a:ln>
          </c:spPr>
          <c:invertIfNegative val="0"/>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Model'!$J$57:$J$116</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er>
        <c:dLbls>
          <c:showLegendKey val="0"/>
          <c:showVal val="0"/>
          <c:showCatName val="0"/>
          <c:showSerName val="0"/>
          <c:showPercent val="0"/>
          <c:showBubbleSize val="0"/>
        </c:dLbls>
        <c:gapWidth val="50"/>
        <c:overlap val="100"/>
        <c:axId val="206599040"/>
        <c:axId val="148992800"/>
      </c:barChart>
      <c:lineChart>
        <c:grouping val="standard"/>
        <c:varyColors val="0"/>
        <c:ser>
          <c:idx val="2"/>
          <c:order val="0"/>
          <c:spPr>
            <a:ln w="28575">
              <a:solidFill>
                <a:schemeClr val="accent2">
                  <a:shade val="95000"/>
                  <a:satMod val="105000"/>
                </a:schemeClr>
              </a:solidFill>
              <a:prstDash val="sysDot"/>
            </a:ln>
            <a:effectLst/>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Model'!$M$57:$M$116</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0"/>
          <c:order val="1"/>
          <c:tx>
            <c:v>Median Estimate</c:v>
          </c:tx>
          <c:spPr>
            <a:ln>
              <a:solidFill>
                <a:schemeClr val="tx2">
                  <a:lumMod val="40000"/>
                  <a:lumOff val="60000"/>
                </a:schemeClr>
              </a:solidFill>
              <a:prstDash val="dash"/>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Model'!$I$57:$I$116</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1"/>
          <c:order val="3"/>
          <c:tx>
            <c:v>Estimate Range</c:v>
          </c:tx>
          <c:spPr>
            <a:ln>
              <a:prstDash val="sysDot"/>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Model'!$L$57:$L$116</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dLbls>
          <c:showLegendKey val="0"/>
          <c:showVal val="0"/>
          <c:showCatName val="0"/>
          <c:showSerName val="0"/>
          <c:showPercent val="0"/>
          <c:showBubbleSize val="0"/>
        </c:dLbls>
        <c:marker val="1"/>
        <c:smooth val="0"/>
        <c:axId val="206599040"/>
        <c:axId val="148992800"/>
      </c:lineChart>
      <c:dateAx>
        <c:axId val="206599040"/>
        <c:scaling>
          <c:orientation val="minMax"/>
        </c:scaling>
        <c:delete val="0"/>
        <c:axPos val="b"/>
        <c:title>
          <c:tx>
            <c:rich>
              <a:bodyPr/>
              <a:lstStyle/>
              <a:p>
                <a:pPr>
                  <a:defRPr/>
                </a:pPr>
                <a:r>
                  <a:rPr lang="en-US"/>
                  <a:t>Event</a:t>
                </a:r>
                <a:r>
                  <a:rPr lang="en-US" baseline="0"/>
                  <a:t> Day</a:t>
                </a:r>
                <a:endParaRPr lang="en-US"/>
              </a:p>
            </c:rich>
          </c:tx>
          <c:layout/>
          <c:overlay val="0"/>
        </c:title>
        <c:numFmt formatCode="m/d;@" sourceLinked="0"/>
        <c:majorTickMark val="out"/>
        <c:minorTickMark val="none"/>
        <c:tickLblPos val="nextTo"/>
        <c:txPr>
          <a:bodyPr rot="-2700000" vert="horz"/>
          <a:lstStyle/>
          <a:p>
            <a:pPr>
              <a:defRPr sz="800" baseline="0"/>
            </a:pPr>
            <a:endParaRPr lang="en-US"/>
          </a:p>
        </c:txPr>
        <c:crossAx val="148992800"/>
        <c:crosses val="autoZero"/>
        <c:auto val="1"/>
        <c:lblOffset val="100"/>
        <c:baseTimeUnit val="days"/>
        <c:majorUnit val="3"/>
        <c:majorTimeUnit val="days"/>
        <c:minorUnit val="2"/>
      </c:dateAx>
      <c:valAx>
        <c:axId val="148992800"/>
        <c:scaling>
          <c:orientation val="minMax"/>
        </c:scaling>
        <c:delete val="0"/>
        <c:axPos val="l"/>
        <c:majorGridlines/>
        <c:title>
          <c:tx>
            <c:rich>
              <a:bodyPr rot="-5400000" vert="horz"/>
              <a:lstStyle/>
              <a:p>
                <a:pPr>
                  <a:defRPr/>
                </a:pPr>
                <a:r>
                  <a:rPr lang="en-US"/>
                  <a:t>Cumulative Cases</a:t>
                </a:r>
              </a:p>
            </c:rich>
          </c:tx>
          <c:layout/>
          <c:overlay val="0"/>
        </c:title>
        <c:numFmt formatCode="General" sourceLinked="1"/>
        <c:majorTickMark val="out"/>
        <c:minorTickMark val="none"/>
        <c:tickLblPos val="nextTo"/>
        <c:crossAx val="206599040"/>
        <c:crosses val="autoZero"/>
        <c:crossBetween val="between"/>
      </c:valAx>
      <c:spPr>
        <a:noFill/>
        <a:ln>
          <a:noFill/>
        </a:ln>
      </c:spPr>
    </c:plotArea>
    <c:legend>
      <c:legendPos val="t"/>
      <c:legendEntry>
        <c:idx val="1"/>
        <c:delete val="1"/>
      </c:legendEntry>
      <c:layout>
        <c:manualLayout>
          <c:xMode val="edge"/>
          <c:yMode val="edge"/>
          <c:x val="0.14294326014126282"/>
          <c:y val="0.1818996471634772"/>
          <c:w val="0.78670330080691131"/>
          <c:h val="7.5355683037104437E-2"/>
        </c:manualLayout>
      </c:layout>
      <c:overlay val="0"/>
      <c:spPr>
        <a:noFill/>
        <a:ln>
          <a:solidFill>
            <a:schemeClr val="tx2">
              <a:lumMod val="40000"/>
              <a:lumOff val="60000"/>
            </a:schemeClr>
          </a:solidFill>
        </a:ln>
      </c:sp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User-defined model</c:v>
          </c:tx>
          <c:marker>
            <c:symbol val="none"/>
          </c:marker>
          <c:cat>
            <c:numRef>
              <c:f>'Epi-Curve Model'!$C$57:$C$116</c:f>
              <c:numCache>
                <c:formatCode>General</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'Epi-Curve Model'!$D$200:$D$259</c:f>
              <c:numCache>
                <c:formatCode>General</c:formatCode>
                <c:ptCount val="60"/>
                <c:pt idx="0">
                  <c:v>4.1494886126356278E-3</c:v>
                </c:pt>
                <c:pt idx="1">
                  <c:v>4.1441088921845635E-2</c:v>
                </c:pt>
                <c:pt idx="2">
                  <c:v>8.6536506476041108E-2</c:v>
                </c:pt>
                <c:pt idx="3">
                  <c:v>0.11104815351609751</c:v>
                </c:pt>
                <c:pt idx="4">
                  <c:v>0.11527828582019288</c:v>
                </c:pt>
                <c:pt idx="5">
                  <c:v>0.10741315519315243</c:v>
                </c:pt>
                <c:pt idx="6">
                  <c:v>9.424730869960074E-2</c:v>
                </c:pt>
                <c:pt idx="7">
                  <c:v>7.984268369494496E-2</c:v>
                </c:pt>
                <c:pt idx="8">
                  <c:v>6.6236325197247689E-2</c:v>
                </c:pt>
                <c:pt idx="9">
                  <c:v>5.426697552751053E-2</c:v>
                </c:pt>
                <c:pt idx="10">
                  <c:v>4.4142780979517522E-2</c:v>
                </c:pt>
                <c:pt idx="11">
                  <c:v>3.5773315337859504E-2</c:v>
                </c:pt>
                <c:pt idx="12">
                  <c:v>2.8948107648074713E-2</c:v>
                </c:pt>
                <c:pt idx="13">
                  <c:v>2.3426388510166384E-2</c:v>
                </c:pt>
                <c:pt idx="14">
                  <c:v>1.8978601583634968E-2</c:v>
                </c:pt>
                <c:pt idx="15">
                  <c:v>1.5402900581428947E-2</c:v>
                </c:pt>
                <c:pt idx="16">
                  <c:v>1.2529308999672398E-2</c:v>
                </c:pt>
                <c:pt idx="17">
                  <c:v>1.0218234825301323E-2</c:v>
                </c:pt>
                <c:pt idx="18">
                  <c:v>8.356758606440513E-3</c:v>
                </c:pt>
                <c:pt idx="19">
                  <c:v>6.8543665729997308E-3</c:v>
                </c:pt>
                <c:pt idx="20">
                  <c:v>5.6388893773070287E-3</c:v>
                </c:pt>
                <c:pt idx="21">
                  <c:v>4.652944595330194E-3</c:v>
                </c:pt>
                <c:pt idx="22">
                  <c:v>3.8509558582453364E-3</c:v>
                </c:pt>
                <c:pt idx="23">
                  <c:v>3.196719345571294E-3</c:v>
                </c:pt>
                <c:pt idx="24">
                  <c:v>2.6614485774049874E-3</c:v>
                </c:pt>
                <c:pt idx="25">
                  <c:v>2.2222189685945446E-3</c:v>
                </c:pt>
                <c:pt idx="26">
                  <c:v>1.8607378448446874E-3</c:v>
                </c:pt>
                <c:pt idx="27">
                  <c:v>1.5623751653792107E-3</c:v>
                </c:pt>
                <c:pt idx="28">
                  <c:v>1.3154009647814789E-3</c:v>
                </c:pt>
                <c:pt idx="29">
                  <c:v>1.1103856750953145E-3</c:v>
                </c:pt>
                <c:pt idx="30">
                  <c:v>9.3972830995026535E-4</c:v>
                </c:pt>
                <c:pt idx="31">
                  <c:v>7.9728482832450371E-4</c:v>
                </c:pt>
                <c:pt idx="32">
                  <c:v>6.7807493767746115E-4</c:v>
                </c:pt>
                <c:pt idx="33">
                  <c:v>5.7805033029371478E-4</c:v>
                </c:pt>
                <c:pt idx="34">
                  <c:v>4.9391107854956278E-4</c:v>
                </c:pt>
                <c:pt idx="35">
                  <c:v>4.2295983677622669E-4</c:v>
                </c:pt>
                <c:pt idx="36">
                  <c:v>3.6298577568375672E-4</c:v>
                </c:pt>
                <c:pt idx="37">
                  <c:v>3.1217194752108175E-4</c:v>
                </c:pt>
                <c:pt idx="38">
                  <c:v>2.6902115721868207E-4</c:v>
                </c:pt>
                <c:pt idx="39">
                  <c:v>2.3229648465483449E-4</c:v>
                </c:pt>
                <c:pt idx="40">
                  <c:v>2.0097343489636695E-4</c:v>
                </c:pt>
                <c:pt idx="41">
                  <c:v>1.7420134051864008E-4</c:v>
                </c:pt>
                <c:pt idx="42">
                  <c:v>1.5127214455930337E-4</c:v>
                </c:pt>
                <c:pt idx="43">
                  <c:v>1.31595086508398E-4</c:v>
                </c:pt>
                <c:pt idx="44">
                  <c:v>1.1467612184442529E-4</c:v>
                </c:pt>
                <c:pt idx="45">
                  <c:v>1.001011471760572E-4</c:v>
                </c:pt>
                <c:pt idx="46">
                  <c:v>8.7522292849428077E-5</c:v>
                </c:pt>
                <c:pt idx="47">
                  <c:v>7.6646694369294482E-5</c:v>
                </c:pt>
                <c:pt idx="48">
                  <c:v>6.7227272004677989E-5</c:v>
                </c:pt>
                <c:pt idx="49">
                  <c:v>5.9055141357435776E-5</c:v>
                </c:pt>
                <c:pt idx="50">
                  <c:v>5.1953351781703196E-5</c:v>
                </c:pt>
                <c:pt idx="51">
                  <c:v>4.5771708486074217E-5</c:v>
                </c:pt>
                <c:pt idx="52">
                  <c:v>4.038248114819377E-5</c:v>
                </c:pt>
                <c:pt idx="53">
                  <c:v>3.5676839436558149E-5</c:v>
                </c:pt>
                <c:pt idx="54">
                  <c:v>3.1561885933360959E-5</c:v>
                </c:pt>
                <c:pt idx="55">
                  <c:v>2.7958181127500828E-5</c:v>
                </c:pt>
                <c:pt idx="56">
                  <c:v>2.479767461075207E-5</c:v>
                </c:pt>
                <c:pt idx="57">
                  <c:v>2.202197231782269E-5</c:v>
                </c:pt>
                <c:pt idx="58">
                  <c:v>1.9580882357042509E-5</c:v>
                </c:pt>
                <c:pt idx="59">
                  <c:v>1.7431192279950344E-5</c:v>
                </c:pt>
              </c:numCache>
            </c:numRef>
          </c:val>
          <c:smooth val="0"/>
        </c:ser>
        <c:ser>
          <c:idx val="1"/>
          <c:order val="1"/>
          <c:tx>
            <c:v>wilkening</c:v>
          </c:tx>
          <c:marker>
            <c:symbol val="none"/>
          </c:marker>
          <c:val>
            <c:numRef>
              <c:f>'Epi-Curve Model'!$O$200:$O$259</c:f>
              <c:numCache>
                <c:formatCode>0.000000000</c:formatCode>
                <c:ptCount val="60"/>
                <c:pt idx="0">
                  <c:v>4.1494886126356278E-3</c:v>
                </c:pt>
                <c:pt idx="1">
                  <c:v>4.1441088921845635E-2</c:v>
                </c:pt>
                <c:pt idx="2">
                  <c:v>8.6536506476041108E-2</c:v>
                </c:pt>
                <c:pt idx="3">
                  <c:v>0.11104815351609751</c:v>
                </c:pt>
                <c:pt idx="4">
                  <c:v>0.11527828582019288</c:v>
                </c:pt>
                <c:pt idx="5">
                  <c:v>0.10741315519315243</c:v>
                </c:pt>
                <c:pt idx="6">
                  <c:v>9.424730869960074E-2</c:v>
                </c:pt>
                <c:pt idx="7">
                  <c:v>7.984268369494496E-2</c:v>
                </c:pt>
                <c:pt idx="8">
                  <c:v>6.6236325197247689E-2</c:v>
                </c:pt>
                <c:pt idx="9">
                  <c:v>5.426697552751053E-2</c:v>
                </c:pt>
                <c:pt idx="10">
                  <c:v>4.4142780979517522E-2</c:v>
                </c:pt>
                <c:pt idx="11">
                  <c:v>3.5773315337859504E-2</c:v>
                </c:pt>
                <c:pt idx="12">
                  <c:v>2.8948107648074713E-2</c:v>
                </c:pt>
                <c:pt idx="13">
                  <c:v>2.3426388510166384E-2</c:v>
                </c:pt>
                <c:pt idx="14">
                  <c:v>1.8978601583634968E-2</c:v>
                </c:pt>
                <c:pt idx="15">
                  <c:v>1.5402900581428947E-2</c:v>
                </c:pt>
                <c:pt idx="16">
                  <c:v>1.2529308999672398E-2</c:v>
                </c:pt>
                <c:pt idx="17">
                  <c:v>1.0218234825301323E-2</c:v>
                </c:pt>
                <c:pt idx="18">
                  <c:v>8.356758606440513E-3</c:v>
                </c:pt>
                <c:pt idx="19">
                  <c:v>6.8543665729997308E-3</c:v>
                </c:pt>
                <c:pt idx="20">
                  <c:v>5.6388893773070287E-3</c:v>
                </c:pt>
                <c:pt idx="21">
                  <c:v>4.652944595330194E-3</c:v>
                </c:pt>
                <c:pt idx="22">
                  <c:v>3.8509558582453364E-3</c:v>
                </c:pt>
                <c:pt idx="23">
                  <c:v>3.196719345571294E-3</c:v>
                </c:pt>
                <c:pt idx="24">
                  <c:v>2.6614485774049874E-3</c:v>
                </c:pt>
                <c:pt idx="25">
                  <c:v>2.2222189685945446E-3</c:v>
                </c:pt>
                <c:pt idx="26">
                  <c:v>1.8607378448446874E-3</c:v>
                </c:pt>
                <c:pt idx="27">
                  <c:v>1.5623751653792107E-3</c:v>
                </c:pt>
                <c:pt idx="28">
                  <c:v>1.3154009647814789E-3</c:v>
                </c:pt>
                <c:pt idx="29">
                  <c:v>1.1103856750953145E-3</c:v>
                </c:pt>
                <c:pt idx="30">
                  <c:v>9.3972830995026535E-4</c:v>
                </c:pt>
                <c:pt idx="31">
                  <c:v>7.9728482832450371E-4</c:v>
                </c:pt>
                <c:pt idx="32">
                  <c:v>6.7807493767746115E-4</c:v>
                </c:pt>
                <c:pt idx="33">
                  <c:v>5.7805033029371478E-4</c:v>
                </c:pt>
                <c:pt idx="34">
                  <c:v>4.9391107854956278E-4</c:v>
                </c:pt>
                <c:pt idx="35">
                  <c:v>4.2295983677622669E-4</c:v>
                </c:pt>
                <c:pt idx="36">
                  <c:v>3.6298577568375672E-4</c:v>
                </c:pt>
                <c:pt idx="37">
                  <c:v>3.1217194752108175E-4</c:v>
                </c:pt>
                <c:pt idx="38">
                  <c:v>2.6902115721868207E-4</c:v>
                </c:pt>
                <c:pt idx="39">
                  <c:v>2.3229648465483449E-4</c:v>
                </c:pt>
                <c:pt idx="40">
                  <c:v>2.0097343489636695E-4</c:v>
                </c:pt>
                <c:pt idx="41">
                  <c:v>1.7420134051864008E-4</c:v>
                </c:pt>
                <c:pt idx="42">
                  <c:v>1.5127214455930337E-4</c:v>
                </c:pt>
                <c:pt idx="43">
                  <c:v>1.31595086508398E-4</c:v>
                </c:pt>
                <c:pt idx="44">
                  <c:v>1.1467612184442529E-4</c:v>
                </c:pt>
                <c:pt idx="45">
                  <c:v>1.001011471760572E-4</c:v>
                </c:pt>
                <c:pt idx="46">
                  <c:v>8.7522292849428077E-5</c:v>
                </c:pt>
                <c:pt idx="47">
                  <c:v>7.6646694369294482E-5</c:v>
                </c:pt>
                <c:pt idx="48">
                  <c:v>6.7227272004677989E-5</c:v>
                </c:pt>
                <c:pt idx="49">
                  <c:v>5.9055141357435776E-5</c:v>
                </c:pt>
                <c:pt idx="50">
                  <c:v>5.1953351781703196E-5</c:v>
                </c:pt>
                <c:pt idx="51">
                  <c:v>4.5771708486074217E-5</c:v>
                </c:pt>
                <c:pt idx="52">
                  <c:v>4.038248114819377E-5</c:v>
                </c:pt>
                <c:pt idx="53">
                  <c:v>3.5676839436558149E-5</c:v>
                </c:pt>
                <c:pt idx="54">
                  <c:v>3.1561885933360959E-5</c:v>
                </c:pt>
                <c:pt idx="55">
                  <c:v>2.7958181127500828E-5</c:v>
                </c:pt>
                <c:pt idx="56">
                  <c:v>2.479767461075207E-5</c:v>
                </c:pt>
                <c:pt idx="57">
                  <c:v>2.202197231782269E-5</c:v>
                </c:pt>
                <c:pt idx="58">
                  <c:v>1.9580882357042509E-5</c:v>
                </c:pt>
                <c:pt idx="59">
                  <c:v>1.7431192279950344E-5</c:v>
                </c:pt>
              </c:numCache>
            </c:numRef>
          </c:val>
          <c:smooth val="0"/>
        </c:ser>
        <c:ser>
          <c:idx val="2"/>
          <c:order val="2"/>
          <c:tx>
            <c:v>Modified-Brookmeyer</c:v>
          </c:tx>
          <c:marker>
            <c:symbol val="none"/>
          </c:marker>
          <c:val>
            <c:numRef>
              <c:f>'Epi-Curve Model'!$AG$200:$AG$259</c:f>
              <c:numCache>
                <c:formatCode>0.000000000</c:formatCode>
                <c:ptCount val="60"/>
                <c:pt idx="0">
                  <c:v>2.228973652197974E-3</c:v>
                </c:pt>
                <c:pt idx="1">
                  <c:v>2.2329188082983068E-2</c:v>
                </c:pt>
                <c:pt idx="2">
                  <c:v>5.0903195133495303E-2</c:v>
                </c:pt>
                <c:pt idx="3">
                  <c:v>7.2243839991133957E-2</c:v>
                </c:pt>
                <c:pt idx="4">
                  <c:v>8.2893133421012025E-2</c:v>
                </c:pt>
                <c:pt idx="5">
                  <c:v>8.5025633655815766E-2</c:v>
                </c:pt>
                <c:pt idx="6">
                  <c:v>8.1730158902806854E-2</c:v>
                </c:pt>
                <c:pt idx="7">
                  <c:v>7.5489857480263323E-2</c:v>
                </c:pt>
                <c:pt idx="8">
                  <c:v>6.7973981865186578E-2</c:v>
                </c:pt>
                <c:pt idx="9">
                  <c:v>6.0199255397116104E-2</c:v>
                </c:pt>
                <c:pt idx="10">
                  <c:v>5.2735342931846403E-2</c:v>
                </c:pt>
                <c:pt idx="11">
                  <c:v>4.586850700135181E-2</c:v>
                </c:pt>
                <c:pt idx="12">
                  <c:v>3.9714540172914051E-2</c:v>
                </c:pt>
                <c:pt idx="13">
                  <c:v>3.4291615897439523E-2</c:v>
                </c:pt>
                <c:pt idx="14">
                  <c:v>2.9565425918973265E-2</c:v>
                </c:pt>
                <c:pt idx="15">
                  <c:v>2.5476295759392843E-2</c:v>
                </c:pt>
                <c:pt idx="16">
                  <c:v>2.1954974984391699E-2</c:v>
                </c:pt>
                <c:pt idx="17">
                  <c:v>1.8931471938829943E-2</c:v>
                </c:pt>
                <c:pt idx="18">
                  <c:v>1.6339697999901391E-2</c:v>
                </c:pt>
                <c:pt idx="19">
                  <c:v>1.4119638430663094E-2</c:v>
                </c:pt>
                <c:pt idx="20">
                  <c:v>1.2218101723402076E-2</c:v>
                </c:pt>
                <c:pt idx="21">
                  <c:v>1.0588683965779205E-2</c:v>
                </c:pt>
                <c:pt idx="22">
                  <c:v>9.1913281358812909E-3</c:v>
                </c:pt>
                <c:pt idx="23">
                  <c:v>7.9917009566497273E-3</c:v>
                </c:pt>
                <c:pt idx="24">
                  <c:v>6.9605143047353924E-3</c:v>
                </c:pt>
                <c:pt idx="25">
                  <c:v>6.0728605563528763E-3</c:v>
                </c:pt>
                <c:pt idx="26">
                  <c:v>5.3075969860392818E-3</c:v>
                </c:pt>
                <c:pt idx="27">
                  <c:v>4.6467943321189384E-3</c:v>
                </c:pt>
                <c:pt idx="28">
                  <c:v>4.0752533020004178E-3</c:v>
                </c:pt>
                <c:pt idx="29">
                  <c:v>3.5800866621878689E-3</c:v>
                </c:pt>
                <c:pt idx="30">
                  <c:v>3.1503615250078544E-3</c:v>
                </c:pt>
                <c:pt idx="31">
                  <c:v>2.7767952122955452E-3</c:v>
                </c:pt>
                <c:pt idx="32">
                  <c:v>2.4514978593229062E-3</c:v>
                </c:pt>
                <c:pt idx="33">
                  <c:v>2.1677552468702234E-3</c:v>
                </c:pt>
                <c:pt idx="34">
                  <c:v>1.9198459348662605E-3</c:v>
                </c:pt>
                <c:pt idx="35">
                  <c:v>1.7028874546893668E-3</c:v>
                </c:pt>
                <c:pt idx="36">
                  <c:v>1.5127070079854355E-3</c:v>
                </c:pt>
                <c:pt idx="37">
                  <c:v>1.3457327698372559E-3</c:v>
                </c:pt>
                <c:pt idx="38">
                  <c:v>1.1989024809949645E-3</c:v>
                </c:pt>
                <c:pt idx="39">
                  <c:v>1.0695865300934875E-3</c:v>
                </c:pt>
                <c:pt idx="40">
                  <c:v>9.5552317297304475E-4</c:v>
                </c:pt>
                <c:pt idx="41">
                  <c:v>8.5476391724705753E-4</c:v>
                </c:pt>
                <c:pt idx="42">
                  <c:v>7.6562742288593174E-4</c:v>
                </c:pt>
                <c:pt idx="43">
                  <c:v>6.8666054111195989E-4</c:v>
                </c:pt>
                <c:pt idx="44">
                  <c:v>6.1660534144913079E-4</c:v>
                </c:pt>
                <c:pt idx="45">
                  <c:v>5.5437116689914241E-4</c:v>
                </c:pt>
                <c:pt idx="46">
                  <c:v>4.9901091575900816E-4</c:v>
                </c:pt>
                <c:pt idx="47">
                  <c:v>4.4970088063734162E-4</c:v>
                </c:pt>
                <c:pt idx="48">
                  <c:v>4.0572358512178222E-4</c:v>
                </c:pt>
                <c:pt idx="49">
                  <c:v>3.6645314999268026E-4</c:v>
                </c:pt>
                <c:pt idx="50">
                  <c:v>3.313427969764005E-4</c:v>
                </c:pt>
                <c:pt idx="51">
                  <c:v>2.9991416138602794E-4</c:v>
                </c:pt>
                <c:pt idx="52">
                  <c:v>2.7174813777555088E-4</c:v>
                </c:pt>
                <c:pt idx="53">
                  <c:v>2.4647702673683371E-4</c:v>
                </c:pt>
                <c:pt idx="54">
                  <c:v>2.2377778769097617E-4</c:v>
                </c:pt>
                <c:pt idx="55">
                  <c:v>2.0336623320436675E-4</c:v>
                </c:pt>
                <c:pt idx="56">
                  <c:v>1.849920260193335E-4</c:v>
                </c:pt>
                <c:pt idx="57">
                  <c:v>1.6843436147722917E-4</c:v>
                </c:pt>
                <c:pt idx="58">
                  <c:v>1.5349823602953306E-4</c:v>
                </c:pt>
                <c:pt idx="59">
                  <c:v>1.4001121766061696E-4</c:v>
                </c:pt>
              </c:numCache>
            </c:numRef>
          </c:val>
          <c:smooth val="0"/>
        </c:ser>
        <c:dLbls>
          <c:showLegendKey val="0"/>
          <c:showVal val="0"/>
          <c:showCatName val="0"/>
          <c:showSerName val="0"/>
          <c:showPercent val="0"/>
          <c:showBubbleSize val="0"/>
        </c:dLbls>
        <c:smooth val="0"/>
        <c:axId val="207145128"/>
        <c:axId val="207145912"/>
      </c:lineChart>
      <c:catAx>
        <c:axId val="207145128"/>
        <c:scaling>
          <c:orientation val="minMax"/>
        </c:scaling>
        <c:delete val="0"/>
        <c:axPos val="b"/>
        <c:numFmt formatCode="General" sourceLinked="1"/>
        <c:majorTickMark val="out"/>
        <c:minorTickMark val="none"/>
        <c:tickLblPos val="nextTo"/>
        <c:crossAx val="207145912"/>
        <c:crosses val="autoZero"/>
        <c:auto val="1"/>
        <c:lblAlgn val="ctr"/>
        <c:lblOffset val="100"/>
        <c:noMultiLvlLbl val="0"/>
      </c:catAx>
      <c:valAx>
        <c:axId val="207145912"/>
        <c:scaling>
          <c:orientation val="minMax"/>
        </c:scaling>
        <c:delete val="0"/>
        <c:axPos val="l"/>
        <c:majorGridlines/>
        <c:numFmt formatCode="General" sourceLinked="1"/>
        <c:majorTickMark val="out"/>
        <c:minorTickMark val="none"/>
        <c:tickLblPos val="nextTo"/>
        <c:crossAx val="207145128"/>
        <c:crosses val="autoZero"/>
        <c:crossBetween val="between"/>
      </c:valAx>
    </c:plotArea>
    <c:legend>
      <c:legendPos val="r"/>
      <c:layout/>
      <c:overlay val="0"/>
    </c:legend>
    <c:plotVisOnly val="0"/>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1" i="0" baseline="0">
                <a:effectLst/>
              </a:rPr>
              <a:t>Actual and Forecasted Unmitigated Time Series</a:t>
            </a:r>
            <a:endParaRPr lang="en-US" sz="1200" baseline="0">
              <a:effectLst/>
            </a:endParaRPr>
          </a:p>
        </c:rich>
      </c:tx>
      <c:overlay val="0"/>
    </c:title>
    <c:autoTitleDeleted val="0"/>
    <c:plotArea>
      <c:layout>
        <c:manualLayout>
          <c:layoutTarget val="inner"/>
          <c:xMode val="edge"/>
          <c:yMode val="edge"/>
          <c:x val="0.11556623176085677"/>
          <c:y val="0.19341320394114142"/>
          <c:w val="0.82108037292648572"/>
          <c:h val="0.6308094163962088"/>
        </c:manualLayout>
      </c:layout>
      <c:barChart>
        <c:barDir val="col"/>
        <c:grouping val="clustered"/>
        <c:varyColors val="0"/>
        <c:ser>
          <c:idx val="1"/>
          <c:order val="0"/>
          <c:tx>
            <c:v>Detected</c:v>
          </c:tx>
          <c:spPr>
            <a:solidFill>
              <a:schemeClr val="accent2"/>
            </a:solidFill>
          </c:spPr>
          <c:invertIfNegative val="0"/>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Model'!$H$57:$H$116</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er>
        <c:dLbls>
          <c:showLegendKey val="0"/>
          <c:showVal val="0"/>
          <c:showCatName val="0"/>
          <c:showSerName val="0"/>
          <c:showPercent val="0"/>
          <c:showBubbleSize val="0"/>
        </c:dLbls>
        <c:gapWidth val="50"/>
        <c:overlap val="100"/>
        <c:axId val="207146696"/>
        <c:axId val="207147088"/>
      </c:barChart>
      <c:lineChart>
        <c:grouping val="standard"/>
        <c:varyColors val="0"/>
        <c:ser>
          <c:idx val="0"/>
          <c:order val="1"/>
          <c:tx>
            <c:v>Median Forecast</c:v>
          </c:tx>
          <c:spPr>
            <a:ln>
              <a:solidFill>
                <a:srgbClr val="769DDC"/>
              </a:solidFill>
              <a:prstDash val="dash"/>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Model'!$G$57:$G$116</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2"/>
          <c:order val="2"/>
          <c:tx>
            <c:v>Forecast Range</c:v>
          </c:tx>
          <c:spPr>
            <a:ln>
              <a:solidFill>
                <a:srgbClr val="C00000"/>
              </a:solidFill>
              <a:prstDash val="sysDot"/>
            </a:ln>
          </c:spPr>
          <c:marker>
            <c:symbol val="none"/>
          </c:marker>
          <c:val>
            <c:numRef>
              <c:f>'Epi-Curve Model'!$N$57:$N$116</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dLbls>
          <c:showLegendKey val="0"/>
          <c:showVal val="0"/>
          <c:showCatName val="0"/>
          <c:showSerName val="0"/>
          <c:showPercent val="0"/>
          <c:showBubbleSize val="0"/>
        </c:dLbls>
        <c:marker val="1"/>
        <c:smooth val="0"/>
        <c:axId val="207146696"/>
        <c:axId val="207147088"/>
      </c:lineChart>
      <c:dateAx>
        <c:axId val="207146696"/>
        <c:scaling>
          <c:orientation val="minMax"/>
        </c:scaling>
        <c:delete val="0"/>
        <c:axPos val="b"/>
        <c:title>
          <c:tx>
            <c:rich>
              <a:bodyPr/>
              <a:lstStyle/>
              <a:p>
                <a:pPr>
                  <a:defRPr/>
                </a:pPr>
                <a:r>
                  <a:rPr lang="en-US"/>
                  <a:t>Event Day</a:t>
                </a:r>
              </a:p>
            </c:rich>
          </c:tx>
          <c:overlay val="0"/>
        </c:title>
        <c:numFmt formatCode="m/d;@" sourceLinked="0"/>
        <c:majorTickMark val="out"/>
        <c:minorTickMark val="none"/>
        <c:tickLblPos val="nextTo"/>
        <c:txPr>
          <a:bodyPr rot="-2700000"/>
          <a:lstStyle/>
          <a:p>
            <a:pPr>
              <a:defRPr sz="800" baseline="0"/>
            </a:pPr>
            <a:endParaRPr lang="en-US"/>
          </a:p>
        </c:txPr>
        <c:crossAx val="207147088"/>
        <c:crosses val="autoZero"/>
        <c:auto val="1"/>
        <c:lblOffset val="100"/>
        <c:baseTimeUnit val="days"/>
        <c:majorUnit val="3"/>
        <c:majorTimeUnit val="days"/>
        <c:minorUnit val="2"/>
      </c:dateAx>
      <c:valAx>
        <c:axId val="207147088"/>
        <c:scaling>
          <c:orientation val="minMax"/>
        </c:scaling>
        <c:delete val="0"/>
        <c:axPos val="l"/>
        <c:majorGridlines/>
        <c:title>
          <c:tx>
            <c:rich>
              <a:bodyPr rot="-5400000" vert="horz"/>
              <a:lstStyle/>
              <a:p>
                <a:pPr>
                  <a:defRPr/>
                </a:pPr>
                <a:r>
                  <a:rPr lang="en-US"/>
                  <a:t>Daily Cases</a:t>
                </a:r>
              </a:p>
            </c:rich>
          </c:tx>
          <c:overlay val="0"/>
        </c:title>
        <c:numFmt formatCode="General" sourceLinked="1"/>
        <c:majorTickMark val="out"/>
        <c:minorTickMark val="none"/>
        <c:tickLblPos val="nextTo"/>
        <c:crossAx val="207146696"/>
        <c:crosses val="autoZero"/>
        <c:crossBetween val="between"/>
      </c:valAx>
    </c:plotArea>
    <c:legend>
      <c:legendPos val="r"/>
      <c:layout>
        <c:manualLayout>
          <c:xMode val="edge"/>
          <c:yMode val="edge"/>
          <c:x val="0.58617577228844808"/>
          <c:y val="0.24294760651400543"/>
          <c:w val="0.32352557165925494"/>
          <c:h val="0.2987509328326709"/>
        </c:manualLayout>
      </c:layout>
      <c:overlay val="0"/>
      <c:spPr>
        <a:solidFill>
          <a:schemeClr val="bg1"/>
        </a:solidFill>
        <a:ln>
          <a:solidFill>
            <a:schemeClr val="accent1">
              <a:shade val="95000"/>
              <a:satMod val="105000"/>
            </a:schemeClr>
          </a:solidFill>
        </a:ln>
      </c:spPr>
    </c:legend>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kern="1000" baseline="0"/>
            </a:pPr>
            <a:r>
              <a:rPr lang="en-US" sz="1200" kern="1000" baseline="0"/>
              <a:t>Actual and Forecasted Unmitigated Cumulative Case Counts</a:t>
            </a:r>
          </a:p>
        </c:rich>
      </c:tx>
      <c:layout>
        <c:manualLayout>
          <c:xMode val="edge"/>
          <c:yMode val="edge"/>
          <c:x val="0.17563084559759129"/>
          <c:y val="2.9012836596796453E-2"/>
        </c:manualLayout>
      </c:layout>
      <c:overlay val="0"/>
    </c:title>
    <c:autoTitleDeleted val="0"/>
    <c:plotArea>
      <c:layout>
        <c:manualLayout>
          <c:layoutTarget val="inner"/>
          <c:xMode val="edge"/>
          <c:yMode val="edge"/>
          <c:x val="0.13956445231047776"/>
          <c:y val="0.27659718984232445"/>
          <c:w val="0.82492535872623995"/>
          <c:h val="0.5445964298968331"/>
        </c:manualLayout>
      </c:layout>
      <c:barChart>
        <c:barDir val="col"/>
        <c:grouping val="clustered"/>
        <c:varyColors val="0"/>
        <c:ser>
          <c:idx val="3"/>
          <c:order val="2"/>
          <c:tx>
            <c:v>Detected</c:v>
          </c:tx>
          <c:spPr>
            <a:solidFill>
              <a:schemeClr val="accent2"/>
            </a:solidFill>
            <a:ln w="0">
              <a:solidFill>
                <a:srgbClr val="C00000"/>
              </a:solidFill>
            </a:ln>
          </c:spPr>
          <c:invertIfNegative val="0"/>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Model'!$J$57:$J$116</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er>
        <c:dLbls>
          <c:showLegendKey val="0"/>
          <c:showVal val="0"/>
          <c:showCatName val="0"/>
          <c:showSerName val="0"/>
          <c:showPercent val="0"/>
          <c:showBubbleSize val="0"/>
        </c:dLbls>
        <c:gapWidth val="50"/>
        <c:overlap val="100"/>
        <c:axId val="207828840"/>
        <c:axId val="207829232"/>
      </c:barChart>
      <c:lineChart>
        <c:grouping val="standard"/>
        <c:varyColors val="0"/>
        <c:ser>
          <c:idx val="2"/>
          <c:order val="0"/>
          <c:spPr>
            <a:ln w="28575">
              <a:solidFill>
                <a:schemeClr val="accent2">
                  <a:shade val="95000"/>
                  <a:satMod val="105000"/>
                </a:schemeClr>
              </a:solidFill>
              <a:prstDash val="sysDot"/>
            </a:ln>
            <a:effectLst/>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Model'!$M$57:$M$116</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0"/>
          <c:order val="1"/>
          <c:tx>
            <c:v>Median Estimate</c:v>
          </c:tx>
          <c:spPr>
            <a:ln>
              <a:solidFill>
                <a:schemeClr val="tx2">
                  <a:lumMod val="40000"/>
                  <a:lumOff val="60000"/>
                </a:schemeClr>
              </a:solidFill>
              <a:prstDash val="dash"/>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Model'!$I$57:$I$116</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1"/>
          <c:order val="3"/>
          <c:tx>
            <c:v>Estimate Range</c:v>
          </c:tx>
          <c:spPr>
            <a:ln>
              <a:prstDash val="sysDot"/>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Model'!$L$57:$L$116</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dLbls>
          <c:showLegendKey val="0"/>
          <c:showVal val="0"/>
          <c:showCatName val="0"/>
          <c:showSerName val="0"/>
          <c:showPercent val="0"/>
          <c:showBubbleSize val="0"/>
        </c:dLbls>
        <c:marker val="1"/>
        <c:smooth val="0"/>
        <c:axId val="207828840"/>
        <c:axId val="207829232"/>
      </c:lineChart>
      <c:dateAx>
        <c:axId val="207828840"/>
        <c:scaling>
          <c:orientation val="minMax"/>
        </c:scaling>
        <c:delete val="0"/>
        <c:axPos val="b"/>
        <c:title>
          <c:tx>
            <c:rich>
              <a:bodyPr/>
              <a:lstStyle/>
              <a:p>
                <a:pPr>
                  <a:defRPr/>
                </a:pPr>
                <a:r>
                  <a:rPr lang="en-US"/>
                  <a:t>Event</a:t>
                </a:r>
                <a:r>
                  <a:rPr lang="en-US" baseline="0"/>
                  <a:t> Day</a:t>
                </a:r>
                <a:endParaRPr lang="en-US"/>
              </a:p>
            </c:rich>
          </c:tx>
          <c:overlay val="0"/>
        </c:title>
        <c:numFmt formatCode="m/d;@" sourceLinked="0"/>
        <c:majorTickMark val="out"/>
        <c:minorTickMark val="none"/>
        <c:tickLblPos val="nextTo"/>
        <c:txPr>
          <a:bodyPr rot="-2700000" vert="horz"/>
          <a:lstStyle/>
          <a:p>
            <a:pPr>
              <a:defRPr sz="800" baseline="0"/>
            </a:pPr>
            <a:endParaRPr lang="en-US"/>
          </a:p>
        </c:txPr>
        <c:crossAx val="207829232"/>
        <c:crosses val="autoZero"/>
        <c:auto val="1"/>
        <c:lblOffset val="100"/>
        <c:baseTimeUnit val="days"/>
        <c:majorUnit val="3"/>
        <c:majorTimeUnit val="days"/>
        <c:minorUnit val="2"/>
      </c:dateAx>
      <c:valAx>
        <c:axId val="207829232"/>
        <c:scaling>
          <c:orientation val="minMax"/>
        </c:scaling>
        <c:delete val="0"/>
        <c:axPos val="l"/>
        <c:majorGridlines/>
        <c:title>
          <c:tx>
            <c:rich>
              <a:bodyPr rot="-5400000" vert="horz"/>
              <a:lstStyle/>
              <a:p>
                <a:pPr>
                  <a:defRPr/>
                </a:pPr>
                <a:r>
                  <a:rPr lang="en-US"/>
                  <a:t>Cumulative Cases</a:t>
                </a:r>
              </a:p>
            </c:rich>
          </c:tx>
          <c:overlay val="0"/>
        </c:title>
        <c:numFmt formatCode="General" sourceLinked="1"/>
        <c:majorTickMark val="out"/>
        <c:minorTickMark val="none"/>
        <c:tickLblPos val="nextTo"/>
        <c:crossAx val="207828840"/>
        <c:crosses val="autoZero"/>
        <c:crossBetween val="between"/>
      </c:valAx>
      <c:spPr>
        <a:noFill/>
        <a:ln>
          <a:noFill/>
        </a:ln>
      </c:spPr>
    </c:plotArea>
    <c:legend>
      <c:legendPos val="t"/>
      <c:legendEntry>
        <c:idx val="1"/>
        <c:delete val="1"/>
      </c:legendEntry>
      <c:layout>
        <c:manualLayout>
          <c:xMode val="edge"/>
          <c:yMode val="edge"/>
          <c:x val="0.14294326014126282"/>
          <c:y val="0.1818996471634772"/>
          <c:w val="0.78670330080691131"/>
          <c:h val="7.5355683037104437E-2"/>
        </c:manualLayout>
      </c:layout>
      <c:overlay val="0"/>
      <c:spPr>
        <a:noFill/>
        <a:ln>
          <a:solidFill>
            <a:schemeClr val="tx2">
              <a:lumMod val="40000"/>
              <a:lumOff val="60000"/>
            </a:schemeClr>
          </a:solidFill>
        </a:ln>
      </c:spPr>
    </c:legend>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kern="1000" baseline="0"/>
            </a:pPr>
            <a:r>
              <a:rPr lang="en-US" sz="1200" kern="1000" baseline="0"/>
              <a:t>Actual and Forecasted Unmitigated Cumulative Case Counts - </a:t>
            </a:r>
            <a:r>
              <a:rPr lang="en-US" sz="1000" kern="1000" baseline="0"/>
              <a:t>Incubation Distribution: Wilkening,</a:t>
            </a:r>
            <a:r>
              <a:rPr lang="en-US" sz="1000" b="1" i="0" u="none" strike="noStrike" baseline="0">
                <a:effectLst/>
              </a:rPr>
              <a:t> </a:t>
            </a:r>
            <a:r>
              <a:rPr lang="en-US" sz="1000" kern="1000" baseline="0"/>
              <a:t>Case Assignment Method: Base Case</a:t>
            </a:r>
          </a:p>
        </c:rich>
      </c:tx>
      <c:layout>
        <c:manualLayout>
          <c:xMode val="edge"/>
          <c:yMode val="edge"/>
          <c:x val="0.17078908008987695"/>
          <c:y val="2.5050310294669191E-2"/>
        </c:manualLayout>
      </c:layout>
      <c:overlay val="0"/>
    </c:title>
    <c:autoTitleDeleted val="0"/>
    <c:plotArea>
      <c:layout>
        <c:manualLayout>
          <c:layoutTarget val="inner"/>
          <c:xMode val="edge"/>
          <c:yMode val="edge"/>
          <c:x val="0.13956445231047776"/>
          <c:y val="0.27659718984232445"/>
          <c:w val="0.82492535872623995"/>
          <c:h val="0.5445964298968331"/>
        </c:manualLayout>
      </c:layout>
      <c:barChart>
        <c:barDir val="col"/>
        <c:grouping val="clustered"/>
        <c:varyColors val="0"/>
        <c:ser>
          <c:idx val="3"/>
          <c:order val="2"/>
          <c:tx>
            <c:v>Detected</c:v>
          </c:tx>
          <c:spPr>
            <a:solidFill>
              <a:schemeClr val="accent2"/>
            </a:solidFill>
            <a:ln w="0">
              <a:solidFill>
                <a:srgbClr val="C00000"/>
              </a:solidFill>
            </a:ln>
          </c:spPr>
          <c:invertIfNegative val="0"/>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Model'!$J$57:$J$116</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er>
        <c:dLbls>
          <c:showLegendKey val="0"/>
          <c:showVal val="0"/>
          <c:showCatName val="0"/>
          <c:showSerName val="0"/>
          <c:showPercent val="0"/>
          <c:showBubbleSize val="0"/>
        </c:dLbls>
        <c:gapWidth val="50"/>
        <c:overlap val="100"/>
        <c:axId val="207830016"/>
        <c:axId val="207830408"/>
      </c:barChart>
      <c:lineChart>
        <c:grouping val="standard"/>
        <c:varyColors val="0"/>
        <c:ser>
          <c:idx val="2"/>
          <c:order val="0"/>
          <c:spPr>
            <a:ln w="28575">
              <a:solidFill>
                <a:schemeClr val="accent2">
                  <a:shade val="95000"/>
                  <a:satMod val="105000"/>
                </a:schemeClr>
              </a:solidFill>
              <a:prstDash val="sysDot"/>
            </a:ln>
            <a:effectLst/>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Model'!$Y$57:$Y$116</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0"/>
          <c:order val="1"/>
          <c:tx>
            <c:v>Median Estimate</c:v>
          </c:tx>
          <c:spPr>
            <a:ln>
              <a:solidFill>
                <a:schemeClr val="tx2">
                  <a:lumMod val="40000"/>
                  <a:lumOff val="60000"/>
                </a:schemeClr>
              </a:solidFill>
              <a:prstDash val="dash"/>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Model'!$S$57:$S$116</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1"/>
          <c:order val="3"/>
          <c:tx>
            <c:v>Estimate Range</c:v>
          </c:tx>
          <c:spPr>
            <a:ln>
              <a:prstDash val="sysDot"/>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Model'!$AE$57:$AE$116</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dLbls>
          <c:showLegendKey val="0"/>
          <c:showVal val="0"/>
          <c:showCatName val="0"/>
          <c:showSerName val="0"/>
          <c:showPercent val="0"/>
          <c:showBubbleSize val="0"/>
        </c:dLbls>
        <c:marker val="1"/>
        <c:smooth val="0"/>
        <c:axId val="207830016"/>
        <c:axId val="207830408"/>
      </c:lineChart>
      <c:dateAx>
        <c:axId val="207830016"/>
        <c:scaling>
          <c:orientation val="minMax"/>
        </c:scaling>
        <c:delete val="0"/>
        <c:axPos val="b"/>
        <c:title>
          <c:tx>
            <c:rich>
              <a:bodyPr/>
              <a:lstStyle/>
              <a:p>
                <a:pPr>
                  <a:defRPr/>
                </a:pPr>
                <a:r>
                  <a:rPr lang="en-US"/>
                  <a:t>Event</a:t>
                </a:r>
                <a:r>
                  <a:rPr lang="en-US" baseline="0"/>
                  <a:t> Day</a:t>
                </a:r>
                <a:endParaRPr lang="en-US"/>
              </a:p>
            </c:rich>
          </c:tx>
          <c:overlay val="0"/>
        </c:title>
        <c:numFmt formatCode="m/d;@" sourceLinked="0"/>
        <c:majorTickMark val="out"/>
        <c:minorTickMark val="none"/>
        <c:tickLblPos val="nextTo"/>
        <c:txPr>
          <a:bodyPr rot="-2700000" vert="horz"/>
          <a:lstStyle/>
          <a:p>
            <a:pPr>
              <a:defRPr sz="800" baseline="0"/>
            </a:pPr>
            <a:endParaRPr lang="en-US"/>
          </a:p>
        </c:txPr>
        <c:crossAx val="207830408"/>
        <c:crosses val="autoZero"/>
        <c:auto val="1"/>
        <c:lblOffset val="100"/>
        <c:baseTimeUnit val="days"/>
        <c:majorUnit val="3"/>
        <c:majorTimeUnit val="days"/>
        <c:minorUnit val="2"/>
      </c:dateAx>
      <c:valAx>
        <c:axId val="207830408"/>
        <c:scaling>
          <c:orientation val="minMax"/>
        </c:scaling>
        <c:delete val="0"/>
        <c:axPos val="l"/>
        <c:majorGridlines/>
        <c:title>
          <c:tx>
            <c:rich>
              <a:bodyPr rot="-5400000" vert="horz"/>
              <a:lstStyle/>
              <a:p>
                <a:pPr>
                  <a:defRPr/>
                </a:pPr>
                <a:r>
                  <a:rPr lang="en-US"/>
                  <a:t>Cumulative Cases</a:t>
                </a:r>
              </a:p>
            </c:rich>
          </c:tx>
          <c:overlay val="0"/>
        </c:title>
        <c:numFmt formatCode="General" sourceLinked="1"/>
        <c:majorTickMark val="out"/>
        <c:minorTickMark val="none"/>
        <c:tickLblPos val="nextTo"/>
        <c:crossAx val="207830016"/>
        <c:crosses val="autoZero"/>
        <c:crossBetween val="between"/>
      </c:valAx>
      <c:spPr>
        <a:noFill/>
        <a:ln>
          <a:noFill/>
        </a:ln>
      </c:spPr>
    </c:plotArea>
    <c:legend>
      <c:legendPos val="t"/>
      <c:legendEntry>
        <c:idx val="1"/>
        <c:delete val="1"/>
      </c:legendEntry>
      <c:overlay val="0"/>
      <c:spPr>
        <a:noFill/>
        <a:ln>
          <a:solidFill>
            <a:schemeClr val="tx2">
              <a:lumMod val="40000"/>
              <a:lumOff val="60000"/>
            </a:schemeClr>
          </a:solidFill>
        </a:ln>
      </c:spPr>
    </c:legend>
    <c:plotVisOnly val="0"/>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200" b="1" i="0" baseline="0">
                <a:effectLst/>
              </a:rPr>
              <a:t>Actual and Forecasted Unmitigated Time Series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000" b="1" i="0" baseline="0">
                <a:effectLst/>
              </a:rPr>
              <a:t>Incubation Distribution: Wilkening, Case Assignment Method: Base Case</a:t>
            </a:r>
            <a:endParaRPr lang="en-US"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endParaRPr lang="en-US" sz="1200" baseline="0">
              <a:effectLst/>
            </a:endParaRPr>
          </a:p>
        </c:rich>
      </c:tx>
      <c:overlay val="0"/>
    </c:title>
    <c:autoTitleDeleted val="0"/>
    <c:plotArea>
      <c:layout>
        <c:manualLayout>
          <c:layoutTarget val="inner"/>
          <c:xMode val="edge"/>
          <c:yMode val="edge"/>
          <c:x val="0.11556623176085677"/>
          <c:y val="0.15142704907036897"/>
          <c:w val="0.82108037292648572"/>
          <c:h val="0.67279547362617342"/>
        </c:manualLayout>
      </c:layout>
      <c:barChart>
        <c:barDir val="col"/>
        <c:grouping val="clustered"/>
        <c:varyColors val="0"/>
        <c:ser>
          <c:idx val="1"/>
          <c:order val="2"/>
          <c:tx>
            <c:v>Detected</c:v>
          </c:tx>
          <c:invertIfNegative val="0"/>
          <c:val>
            <c:numRef>
              <c:f>'Epi-Curve Model'!$H$57:$H$116</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er>
        <c:dLbls>
          <c:showLegendKey val="0"/>
          <c:showVal val="0"/>
          <c:showCatName val="0"/>
          <c:showSerName val="0"/>
          <c:showPercent val="0"/>
          <c:showBubbleSize val="0"/>
        </c:dLbls>
        <c:gapWidth val="50"/>
        <c:axId val="207831192"/>
        <c:axId val="207831584"/>
      </c:barChart>
      <c:lineChart>
        <c:grouping val="standard"/>
        <c:varyColors val="0"/>
        <c:ser>
          <c:idx val="0"/>
          <c:order val="0"/>
          <c:tx>
            <c:v>Median Forecast</c:v>
          </c:tx>
          <c:spPr>
            <a:ln>
              <a:solidFill>
                <a:srgbClr val="769DDC"/>
              </a:solidFill>
              <a:prstDash val="dash"/>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Model'!$R$57:$R$116</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2"/>
          <c:order val="1"/>
          <c:tx>
            <c:v>Forecast Upper Boundary</c:v>
          </c:tx>
          <c:spPr>
            <a:ln>
              <a:solidFill>
                <a:srgbClr val="C00000"/>
              </a:solidFill>
              <a:prstDash val="sysDot"/>
            </a:ln>
          </c:spPr>
          <c:marker>
            <c:symbol val="none"/>
          </c:marker>
          <c:val>
            <c:numRef>
              <c:f>'Epi-Curve Model'!$AD$57:$AD$116</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dLbls>
          <c:showLegendKey val="0"/>
          <c:showVal val="0"/>
          <c:showCatName val="0"/>
          <c:showSerName val="0"/>
          <c:showPercent val="0"/>
          <c:showBubbleSize val="0"/>
        </c:dLbls>
        <c:marker val="1"/>
        <c:smooth val="0"/>
        <c:axId val="207831192"/>
        <c:axId val="207831584"/>
      </c:lineChart>
      <c:dateAx>
        <c:axId val="207831192"/>
        <c:scaling>
          <c:orientation val="minMax"/>
        </c:scaling>
        <c:delete val="0"/>
        <c:axPos val="b"/>
        <c:title>
          <c:tx>
            <c:rich>
              <a:bodyPr/>
              <a:lstStyle/>
              <a:p>
                <a:pPr>
                  <a:defRPr/>
                </a:pPr>
                <a:r>
                  <a:rPr lang="en-US"/>
                  <a:t>Event Day</a:t>
                </a:r>
              </a:p>
            </c:rich>
          </c:tx>
          <c:overlay val="0"/>
        </c:title>
        <c:numFmt formatCode="m/d;@" sourceLinked="0"/>
        <c:majorTickMark val="out"/>
        <c:minorTickMark val="none"/>
        <c:tickLblPos val="nextTo"/>
        <c:txPr>
          <a:bodyPr rot="-2700000"/>
          <a:lstStyle/>
          <a:p>
            <a:pPr>
              <a:defRPr sz="800" baseline="0"/>
            </a:pPr>
            <a:endParaRPr lang="en-US"/>
          </a:p>
        </c:txPr>
        <c:crossAx val="207831584"/>
        <c:crosses val="autoZero"/>
        <c:auto val="1"/>
        <c:lblOffset val="100"/>
        <c:baseTimeUnit val="days"/>
        <c:majorUnit val="3"/>
        <c:majorTimeUnit val="days"/>
        <c:minorUnit val="2"/>
      </c:dateAx>
      <c:valAx>
        <c:axId val="207831584"/>
        <c:scaling>
          <c:orientation val="minMax"/>
        </c:scaling>
        <c:delete val="0"/>
        <c:axPos val="l"/>
        <c:majorGridlines/>
        <c:title>
          <c:tx>
            <c:rich>
              <a:bodyPr rot="-5400000" vert="horz"/>
              <a:lstStyle/>
              <a:p>
                <a:pPr>
                  <a:defRPr/>
                </a:pPr>
                <a:r>
                  <a:rPr lang="en-US"/>
                  <a:t>Daily Cases</a:t>
                </a:r>
              </a:p>
            </c:rich>
          </c:tx>
          <c:overlay val="0"/>
        </c:title>
        <c:numFmt formatCode="General" sourceLinked="1"/>
        <c:majorTickMark val="out"/>
        <c:minorTickMark val="none"/>
        <c:tickLblPos val="nextTo"/>
        <c:crossAx val="207831192"/>
        <c:crosses val="autoZero"/>
        <c:crossBetween val="between"/>
      </c:valAx>
    </c:plotArea>
    <c:legend>
      <c:legendPos val="r"/>
      <c:layout>
        <c:manualLayout>
          <c:xMode val="edge"/>
          <c:yMode val="edge"/>
          <c:x val="0.57492160881336984"/>
          <c:y val="0.23807409308403768"/>
          <c:w val="0.33896939183053193"/>
          <c:h val="0.31517049554131865"/>
        </c:manualLayout>
      </c:layout>
      <c:overlay val="0"/>
      <c:spPr>
        <a:solidFill>
          <a:schemeClr val="bg1"/>
        </a:solidFill>
        <a:ln>
          <a:solidFill>
            <a:schemeClr val="accent1">
              <a:shade val="95000"/>
              <a:satMod val="105000"/>
            </a:schemeClr>
          </a:solidFill>
        </a:ln>
      </c:spPr>
    </c:legend>
    <c:plotVisOnly val="0"/>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1" i="0" baseline="0">
                <a:effectLst/>
              </a:rPr>
              <a:t>Actual and Forecasted Time Series</a:t>
            </a:r>
            <a:endParaRPr lang="en-US" sz="1200" baseline="0">
              <a:effectLst/>
            </a:endParaRPr>
          </a:p>
        </c:rich>
      </c:tx>
      <c:overlay val="0"/>
    </c:title>
    <c:autoTitleDeleted val="0"/>
    <c:plotArea>
      <c:layout>
        <c:manualLayout>
          <c:layoutTarget val="inner"/>
          <c:xMode val="edge"/>
          <c:yMode val="edge"/>
          <c:x val="0.11556623176085677"/>
          <c:y val="0.15142704907036897"/>
          <c:w val="0.82108037292648572"/>
          <c:h val="0.67279547362617342"/>
        </c:manualLayout>
      </c:layout>
      <c:barChart>
        <c:barDir val="col"/>
        <c:grouping val="clustered"/>
        <c:varyColors val="0"/>
        <c:ser>
          <c:idx val="1"/>
          <c:order val="0"/>
          <c:tx>
            <c:v>Detected</c:v>
          </c:tx>
          <c:spPr>
            <a:solidFill>
              <a:schemeClr val="accent2"/>
            </a:solidFill>
          </c:spPr>
          <c:invertIfNegative val="0"/>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Model'!$H$200:$H$259</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er>
        <c:dLbls>
          <c:showLegendKey val="0"/>
          <c:showVal val="0"/>
          <c:showCatName val="0"/>
          <c:showSerName val="0"/>
          <c:showPercent val="0"/>
          <c:showBubbleSize val="0"/>
        </c:dLbls>
        <c:gapWidth val="50"/>
        <c:overlap val="100"/>
        <c:axId val="207832368"/>
        <c:axId val="209108288"/>
      </c:barChart>
      <c:lineChart>
        <c:grouping val="standard"/>
        <c:varyColors val="0"/>
        <c:ser>
          <c:idx val="0"/>
          <c:order val="1"/>
          <c:tx>
            <c:v>Forecast</c:v>
          </c:tx>
          <c:spPr>
            <a:ln>
              <a:solidFill>
                <a:srgbClr val="769DDC"/>
              </a:solidFill>
              <a:prstDash val="dash"/>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Model'!$G$200:$G$259</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2"/>
          <c:order val="2"/>
          <c:tx>
            <c:v>95% Prob Range Boundary</c:v>
          </c:tx>
          <c:spPr>
            <a:ln>
              <a:solidFill>
                <a:srgbClr val="C00000"/>
              </a:solidFill>
              <a:prstDash val="sysDot"/>
            </a:ln>
          </c:spPr>
          <c:marker>
            <c:symbol val="none"/>
          </c:marker>
          <c:val>
            <c:numRef>
              <c:f>'Epi-Curve Model'!$N$200:$N$259</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dLbls>
          <c:showLegendKey val="0"/>
          <c:showVal val="0"/>
          <c:showCatName val="0"/>
          <c:showSerName val="0"/>
          <c:showPercent val="0"/>
          <c:showBubbleSize val="0"/>
        </c:dLbls>
        <c:marker val="1"/>
        <c:smooth val="0"/>
        <c:axId val="207832368"/>
        <c:axId val="209108288"/>
      </c:lineChart>
      <c:dateAx>
        <c:axId val="207832368"/>
        <c:scaling>
          <c:orientation val="minMax"/>
        </c:scaling>
        <c:delete val="0"/>
        <c:axPos val="b"/>
        <c:title>
          <c:tx>
            <c:rich>
              <a:bodyPr/>
              <a:lstStyle/>
              <a:p>
                <a:pPr>
                  <a:defRPr/>
                </a:pPr>
                <a:r>
                  <a:rPr lang="en-US"/>
                  <a:t>Event Day</a:t>
                </a:r>
              </a:p>
            </c:rich>
          </c:tx>
          <c:overlay val="0"/>
        </c:title>
        <c:numFmt formatCode="m/d;@" sourceLinked="0"/>
        <c:majorTickMark val="out"/>
        <c:minorTickMark val="none"/>
        <c:tickLblPos val="nextTo"/>
        <c:txPr>
          <a:bodyPr rot="-2700000"/>
          <a:lstStyle/>
          <a:p>
            <a:pPr>
              <a:defRPr sz="800" baseline="0"/>
            </a:pPr>
            <a:endParaRPr lang="en-US"/>
          </a:p>
        </c:txPr>
        <c:crossAx val="209108288"/>
        <c:crosses val="autoZero"/>
        <c:auto val="1"/>
        <c:lblOffset val="100"/>
        <c:baseTimeUnit val="days"/>
        <c:majorUnit val="3"/>
        <c:majorTimeUnit val="days"/>
        <c:minorUnit val="2"/>
      </c:dateAx>
      <c:valAx>
        <c:axId val="209108288"/>
        <c:scaling>
          <c:orientation val="minMax"/>
        </c:scaling>
        <c:delete val="0"/>
        <c:axPos val="l"/>
        <c:majorGridlines/>
        <c:title>
          <c:tx>
            <c:rich>
              <a:bodyPr rot="-5400000" vert="horz"/>
              <a:lstStyle/>
              <a:p>
                <a:pPr>
                  <a:defRPr/>
                </a:pPr>
                <a:r>
                  <a:rPr lang="en-US"/>
                  <a:t>Daily Cases</a:t>
                </a:r>
              </a:p>
            </c:rich>
          </c:tx>
          <c:overlay val="0"/>
        </c:title>
        <c:numFmt formatCode="General" sourceLinked="1"/>
        <c:majorTickMark val="out"/>
        <c:minorTickMark val="none"/>
        <c:tickLblPos val="nextTo"/>
        <c:crossAx val="207832368"/>
        <c:crosses val="autoZero"/>
        <c:crossBetween val="between"/>
      </c:valAx>
    </c:plotArea>
    <c:legend>
      <c:legendPos val="r"/>
      <c:layout>
        <c:manualLayout>
          <c:xMode val="edge"/>
          <c:yMode val="edge"/>
          <c:x val="0.50144352783913437"/>
          <c:y val="0.16516968926983025"/>
          <c:w val="0.32352557165925494"/>
          <c:h val="0.2987509328326709"/>
        </c:manualLayout>
      </c:layout>
      <c:overlay val="0"/>
      <c:spPr>
        <a:solidFill>
          <a:schemeClr val="bg1"/>
        </a:solidFill>
        <a:ln>
          <a:solidFill>
            <a:schemeClr val="accent1">
              <a:shade val="95000"/>
              <a:satMod val="105000"/>
            </a:schemeClr>
          </a:solidFill>
        </a:ln>
      </c:spPr>
    </c:legend>
    <c:plotVisOnly val="0"/>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kern="1000" baseline="0"/>
            </a:pPr>
            <a:r>
              <a:rPr lang="en-US" sz="1200" kern="1000" baseline="0"/>
              <a:t>Actual and Forecasted Unmitigated Cumulative Case Counts</a:t>
            </a:r>
          </a:p>
        </c:rich>
      </c:tx>
      <c:layout>
        <c:manualLayout>
          <c:xMode val="edge"/>
          <c:yMode val="edge"/>
          <c:x val="0.17078908008987695"/>
          <c:y val="2.5050310294669191E-2"/>
        </c:manualLayout>
      </c:layout>
      <c:overlay val="0"/>
    </c:title>
    <c:autoTitleDeleted val="0"/>
    <c:plotArea>
      <c:layout>
        <c:manualLayout>
          <c:layoutTarget val="inner"/>
          <c:xMode val="edge"/>
          <c:yMode val="edge"/>
          <c:x val="0.13956445231047776"/>
          <c:y val="0.27659718984232445"/>
          <c:w val="0.82492535872623995"/>
          <c:h val="0.5445964298968331"/>
        </c:manualLayout>
      </c:layout>
      <c:barChart>
        <c:barDir val="col"/>
        <c:grouping val="clustered"/>
        <c:varyColors val="0"/>
        <c:ser>
          <c:idx val="3"/>
          <c:order val="2"/>
          <c:tx>
            <c:v>Detected</c:v>
          </c:tx>
          <c:spPr>
            <a:solidFill>
              <a:schemeClr val="accent2"/>
            </a:solidFill>
            <a:ln w="0">
              <a:solidFill>
                <a:srgbClr val="C00000"/>
              </a:solidFill>
            </a:ln>
          </c:spPr>
          <c:invertIfNegative val="0"/>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Model'!$J$200:$J$259</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er>
        <c:dLbls>
          <c:showLegendKey val="0"/>
          <c:showVal val="0"/>
          <c:showCatName val="0"/>
          <c:showSerName val="0"/>
          <c:showPercent val="0"/>
          <c:showBubbleSize val="0"/>
        </c:dLbls>
        <c:gapWidth val="50"/>
        <c:overlap val="100"/>
        <c:axId val="209109072"/>
        <c:axId val="209109464"/>
      </c:barChart>
      <c:lineChart>
        <c:grouping val="standard"/>
        <c:varyColors val="0"/>
        <c:ser>
          <c:idx val="2"/>
          <c:order val="0"/>
          <c:spPr>
            <a:ln w="28575">
              <a:solidFill>
                <a:schemeClr val="accent2">
                  <a:shade val="95000"/>
                  <a:satMod val="105000"/>
                </a:schemeClr>
              </a:solidFill>
              <a:prstDash val="sysDot"/>
            </a:ln>
            <a:effectLst/>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Model'!$M$200:$M$259</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0"/>
          <c:order val="1"/>
          <c:tx>
            <c:v>Max Liklihood Estimate</c:v>
          </c:tx>
          <c:spPr>
            <a:ln>
              <a:solidFill>
                <a:schemeClr val="tx2">
                  <a:lumMod val="40000"/>
                  <a:lumOff val="60000"/>
                </a:schemeClr>
              </a:solidFill>
              <a:prstDash val="dash"/>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Model'!$I$200:$I$259</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1"/>
          <c:order val="3"/>
          <c:tx>
            <c:v>Estimate 95% C.I.</c:v>
          </c:tx>
          <c:spPr>
            <a:ln>
              <a:prstDash val="sysDot"/>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Model'!$L$200:$L$259</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dLbls>
          <c:showLegendKey val="0"/>
          <c:showVal val="0"/>
          <c:showCatName val="0"/>
          <c:showSerName val="0"/>
          <c:showPercent val="0"/>
          <c:showBubbleSize val="0"/>
        </c:dLbls>
        <c:marker val="1"/>
        <c:smooth val="0"/>
        <c:axId val="209109072"/>
        <c:axId val="209109464"/>
      </c:lineChart>
      <c:dateAx>
        <c:axId val="209109072"/>
        <c:scaling>
          <c:orientation val="minMax"/>
        </c:scaling>
        <c:delete val="0"/>
        <c:axPos val="b"/>
        <c:title>
          <c:tx>
            <c:rich>
              <a:bodyPr/>
              <a:lstStyle/>
              <a:p>
                <a:pPr>
                  <a:defRPr/>
                </a:pPr>
                <a:r>
                  <a:rPr lang="en-US"/>
                  <a:t>Event</a:t>
                </a:r>
                <a:r>
                  <a:rPr lang="en-US" baseline="0"/>
                  <a:t> Day</a:t>
                </a:r>
                <a:endParaRPr lang="en-US"/>
              </a:p>
            </c:rich>
          </c:tx>
          <c:overlay val="0"/>
        </c:title>
        <c:numFmt formatCode="m/d;@" sourceLinked="0"/>
        <c:majorTickMark val="out"/>
        <c:minorTickMark val="none"/>
        <c:tickLblPos val="nextTo"/>
        <c:txPr>
          <a:bodyPr rot="-2700000" vert="horz"/>
          <a:lstStyle/>
          <a:p>
            <a:pPr>
              <a:defRPr sz="800" baseline="0"/>
            </a:pPr>
            <a:endParaRPr lang="en-US"/>
          </a:p>
        </c:txPr>
        <c:crossAx val="209109464"/>
        <c:crosses val="autoZero"/>
        <c:auto val="1"/>
        <c:lblOffset val="100"/>
        <c:baseTimeUnit val="days"/>
        <c:majorUnit val="3"/>
        <c:majorTimeUnit val="days"/>
        <c:minorUnit val="2"/>
      </c:dateAx>
      <c:valAx>
        <c:axId val="209109464"/>
        <c:scaling>
          <c:orientation val="minMax"/>
        </c:scaling>
        <c:delete val="0"/>
        <c:axPos val="l"/>
        <c:majorGridlines/>
        <c:title>
          <c:tx>
            <c:rich>
              <a:bodyPr rot="-5400000" vert="horz"/>
              <a:lstStyle/>
              <a:p>
                <a:pPr>
                  <a:defRPr/>
                </a:pPr>
                <a:r>
                  <a:rPr lang="en-US"/>
                  <a:t>Cumulative Cases</a:t>
                </a:r>
              </a:p>
            </c:rich>
          </c:tx>
          <c:overlay val="0"/>
        </c:title>
        <c:numFmt formatCode="General" sourceLinked="1"/>
        <c:majorTickMark val="out"/>
        <c:minorTickMark val="none"/>
        <c:tickLblPos val="nextTo"/>
        <c:crossAx val="209109072"/>
        <c:crosses val="autoZero"/>
        <c:crossBetween val="between"/>
      </c:valAx>
      <c:spPr>
        <a:noFill/>
        <a:ln>
          <a:noFill/>
        </a:ln>
      </c:spPr>
    </c:plotArea>
    <c:legend>
      <c:legendPos val="t"/>
      <c:legendEntry>
        <c:idx val="1"/>
        <c:delete val="1"/>
      </c:legendEntry>
      <c:overlay val="0"/>
      <c:spPr>
        <a:noFill/>
        <a:ln>
          <a:solidFill>
            <a:schemeClr val="tx2">
              <a:lumMod val="40000"/>
              <a:lumOff val="60000"/>
            </a:schemeClr>
          </a:solidFill>
        </a:ln>
      </c:spPr>
    </c:legend>
    <c:plotVisOnly val="0"/>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kern="1000" baseline="0"/>
            </a:pPr>
            <a:r>
              <a:rPr lang="en-US" sz="1200" kern="1000" baseline="0"/>
              <a:t>Actual and Forecasted Unmitigated Cumulative Case Counts - </a:t>
            </a:r>
            <a:r>
              <a:rPr lang="en-US" sz="1000" kern="1000" baseline="0"/>
              <a:t>Incubation Distribution: Wilkening,</a:t>
            </a:r>
            <a:r>
              <a:rPr lang="en-US" sz="1000" b="1" i="0" u="none" strike="noStrike" baseline="0">
                <a:effectLst/>
              </a:rPr>
              <a:t> </a:t>
            </a:r>
            <a:r>
              <a:rPr lang="en-US" sz="1000" kern="1000" baseline="0"/>
              <a:t>Case Assignment Method: 2</a:t>
            </a:r>
          </a:p>
        </c:rich>
      </c:tx>
      <c:layout>
        <c:manualLayout>
          <c:xMode val="edge"/>
          <c:yMode val="edge"/>
          <c:x val="0.17078908008987695"/>
          <c:y val="2.5050310294669191E-2"/>
        </c:manualLayout>
      </c:layout>
      <c:overlay val="0"/>
    </c:title>
    <c:autoTitleDeleted val="0"/>
    <c:plotArea>
      <c:layout>
        <c:manualLayout>
          <c:layoutTarget val="inner"/>
          <c:xMode val="edge"/>
          <c:yMode val="edge"/>
          <c:x val="0.13956445231047776"/>
          <c:y val="0.27659718984232445"/>
          <c:w val="0.82492535872623995"/>
          <c:h val="0.5445964298968331"/>
        </c:manualLayout>
      </c:layout>
      <c:barChart>
        <c:barDir val="col"/>
        <c:grouping val="clustered"/>
        <c:varyColors val="0"/>
        <c:ser>
          <c:idx val="3"/>
          <c:order val="2"/>
          <c:tx>
            <c:v>Detected</c:v>
          </c:tx>
          <c:spPr>
            <a:solidFill>
              <a:schemeClr val="accent2"/>
            </a:solidFill>
            <a:ln w="0">
              <a:solidFill>
                <a:srgbClr val="C00000"/>
              </a:solidFill>
            </a:ln>
          </c:spPr>
          <c:invertIfNegative val="0"/>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Model'!$J$200:$J$259</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er>
        <c:dLbls>
          <c:showLegendKey val="0"/>
          <c:showVal val="0"/>
          <c:showCatName val="0"/>
          <c:showSerName val="0"/>
          <c:showPercent val="0"/>
          <c:showBubbleSize val="0"/>
        </c:dLbls>
        <c:gapWidth val="50"/>
        <c:overlap val="100"/>
        <c:axId val="209110248"/>
        <c:axId val="209110640"/>
      </c:barChart>
      <c:lineChart>
        <c:grouping val="standard"/>
        <c:varyColors val="0"/>
        <c:ser>
          <c:idx val="2"/>
          <c:order val="0"/>
          <c:spPr>
            <a:ln w="28575">
              <a:solidFill>
                <a:schemeClr val="accent2">
                  <a:shade val="95000"/>
                  <a:satMod val="105000"/>
                </a:schemeClr>
              </a:solidFill>
              <a:prstDash val="sysDot"/>
            </a:ln>
            <a:effectLst/>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Model'!$Y$200:$Y$259</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0"/>
          <c:order val="1"/>
          <c:tx>
            <c:v>Max Liklihood Estimate</c:v>
          </c:tx>
          <c:spPr>
            <a:ln>
              <a:solidFill>
                <a:schemeClr val="tx2">
                  <a:lumMod val="40000"/>
                  <a:lumOff val="60000"/>
                </a:schemeClr>
              </a:solidFill>
              <a:prstDash val="dash"/>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Model'!$S$200:$S$259</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1"/>
          <c:order val="3"/>
          <c:tx>
            <c:v>Estimate 95% C.I.</c:v>
          </c:tx>
          <c:spPr>
            <a:ln>
              <a:prstDash val="sysDot"/>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Model'!$AE$200:$AE$259</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dLbls>
          <c:showLegendKey val="0"/>
          <c:showVal val="0"/>
          <c:showCatName val="0"/>
          <c:showSerName val="0"/>
          <c:showPercent val="0"/>
          <c:showBubbleSize val="0"/>
        </c:dLbls>
        <c:marker val="1"/>
        <c:smooth val="0"/>
        <c:axId val="209110248"/>
        <c:axId val="209110640"/>
      </c:lineChart>
      <c:dateAx>
        <c:axId val="209110248"/>
        <c:scaling>
          <c:orientation val="minMax"/>
        </c:scaling>
        <c:delete val="0"/>
        <c:axPos val="b"/>
        <c:title>
          <c:tx>
            <c:rich>
              <a:bodyPr/>
              <a:lstStyle/>
              <a:p>
                <a:pPr>
                  <a:defRPr/>
                </a:pPr>
                <a:r>
                  <a:rPr lang="en-US"/>
                  <a:t>Event</a:t>
                </a:r>
                <a:r>
                  <a:rPr lang="en-US" baseline="0"/>
                  <a:t> Day</a:t>
                </a:r>
                <a:endParaRPr lang="en-US"/>
              </a:p>
            </c:rich>
          </c:tx>
          <c:overlay val="0"/>
        </c:title>
        <c:numFmt formatCode="m/d;@" sourceLinked="0"/>
        <c:majorTickMark val="out"/>
        <c:minorTickMark val="none"/>
        <c:tickLblPos val="nextTo"/>
        <c:txPr>
          <a:bodyPr rot="-2700000" vert="horz"/>
          <a:lstStyle/>
          <a:p>
            <a:pPr>
              <a:defRPr sz="800" baseline="0"/>
            </a:pPr>
            <a:endParaRPr lang="en-US"/>
          </a:p>
        </c:txPr>
        <c:crossAx val="209110640"/>
        <c:crosses val="autoZero"/>
        <c:auto val="1"/>
        <c:lblOffset val="100"/>
        <c:baseTimeUnit val="days"/>
        <c:majorUnit val="3"/>
        <c:majorTimeUnit val="days"/>
        <c:minorUnit val="2"/>
      </c:dateAx>
      <c:valAx>
        <c:axId val="209110640"/>
        <c:scaling>
          <c:orientation val="minMax"/>
        </c:scaling>
        <c:delete val="0"/>
        <c:axPos val="l"/>
        <c:majorGridlines/>
        <c:title>
          <c:tx>
            <c:rich>
              <a:bodyPr rot="-5400000" vert="horz"/>
              <a:lstStyle/>
              <a:p>
                <a:pPr>
                  <a:defRPr/>
                </a:pPr>
                <a:r>
                  <a:rPr lang="en-US"/>
                  <a:t>Cumulative Cases</a:t>
                </a:r>
              </a:p>
            </c:rich>
          </c:tx>
          <c:overlay val="0"/>
        </c:title>
        <c:numFmt formatCode="General" sourceLinked="1"/>
        <c:majorTickMark val="out"/>
        <c:minorTickMark val="none"/>
        <c:tickLblPos val="nextTo"/>
        <c:crossAx val="209110248"/>
        <c:crosses val="autoZero"/>
        <c:crossBetween val="between"/>
      </c:valAx>
      <c:spPr>
        <a:noFill/>
        <a:ln>
          <a:noFill/>
        </a:ln>
      </c:spPr>
    </c:plotArea>
    <c:legend>
      <c:legendPos val="t"/>
      <c:legendEntry>
        <c:idx val="1"/>
        <c:delete val="1"/>
      </c:legendEntry>
      <c:overlay val="0"/>
      <c:spPr>
        <a:noFill/>
        <a:ln>
          <a:solidFill>
            <a:schemeClr val="tx2">
              <a:lumMod val="40000"/>
              <a:lumOff val="60000"/>
            </a:schemeClr>
          </a:solidFill>
        </a:ln>
      </c:spPr>
    </c:legend>
    <c:plotVisOnly val="0"/>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200" b="1" i="0" baseline="0">
                <a:effectLst/>
              </a:rPr>
              <a:t>Actual and Forecasted Unmitigated Time Series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000" b="1" i="0" baseline="0">
                <a:effectLst/>
              </a:rPr>
              <a:t>Incubation Distribution: Wilkening, Case Assignment Method: 2</a:t>
            </a:r>
            <a:endParaRPr lang="en-US"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endParaRPr lang="en-US" sz="1200" baseline="0">
              <a:effectLst/>
            </a:endParaRPr>
          </a:p>
        </c:rich>
      </c:tx>
      <c:overlay val="0"/>
    </c:title>
    <c:autoTitleDeleted val="0"/>
    <c:plotArea>
      <c:layout>
        <c:manualLayout>
          <c:layoutTarget val="inner"/>
          <c:xMode val="edge"/>
          <c:yMode val="edge"/>
          <c:x val="0.11556623176085677"/>
          <c:y val="0.15142704907036897"/>
          <c:w val="0.82108037292648572"/>
          <c:h val="0.67279547362617342"/>
        </c:manualLayout>
      </c:layout>
      <c:barChart>
        <c:barDir val="col"/>
        <c:grouping val="clustered"/>
        <c:varyColors val="0"/>
        <c:ser>
          <c:idx val="1"/>
          <c:order val="2"/>
          <c:tx>
            <c:v>Detected</c:v>
          </c:tx>
          <c:invertIfNegative val="0"/>
          <c:val>
            <c:numRef>
              <c:f>'Epi-Curve Model'!$H$200:$H$259</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er>
        <c:dLbls>
          <c:showLegendKey val="0"/>
          <c:showVal val="0"/>
          <c:showCatName val="0"/>
          <c:showSerName val="0"/>
          <c:showPercent val="0"/>
          <c:showBubbleSize val="0"/>
        </c:dLbls>
        <c:gapWidth val="50"/>
        <c:axId val="209111424"/>
        <c:axId val="209111816"/>
      </c:barChart>
      <c:lineChart>
        <c:grouping val="standard"/>
        <c:varyColors val="0"/>
        <c:ser>
          <c:idx val="0"/>
          <c:order val="0"/>
          <c:tx>
            <c:v>Forecast</c:v>
          </c:tx>
          <c:spPr>
            <a:ln>
              <a:solidFill>
                <a:srgbClr val="769DDC"/>
              </a:solidFill>
              <a:prstDash val="dash"/>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Model'!$R$200:$R$259</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2"/>
          <c:order val="1"/>
          <c:tx>
            <c:v>95% C.I. Upper Boundary</c:v>
          </c:tx>
          <c:spPr>
            <a:ln>
              <a:solidFill>
                <a:srgbClr val="C00000"/>
              </a:solidFill>
              <a:prstDash val="sysDot"/>
            </a:ln>
          </c:spPr>
          <c:marker>
            <c:symbol val="none"/>
          </c:marker>
          <c:val>
            <c:numRef>
              <c:f>'Epi-Curve Model'!$AD$200:$AD$259</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dLbls>
          <c:showLegendKey val="0"/>
          <c:showVal val="0"/>
          <c:showCatName val="0"/>
          <c:showSerName val="0"/>
          <c:showPercent val="0"/>
          <c:showBubbleSize val="0"/>
        </c:dLbls>
        <c:marker val="1"/>
        <c:smooth val="0"/>
        <c:axId val="209111424"/>
        <c:axId val="209111816"/>
      </c:lineChart>
      <c:dateAx>
        <c:axId val="209111424"/>
        <c:scaling>
          <c:orientation val="minMax"/>
        </c:scaling>
        <c:delete val="0"/>
        <c:axPos val="b"/>
        <c:title>
          <c:tx>
            <c:rich>
              <a:bodyPr/>
              <a:lstStyle/>
              <a:p>
                <a:pPr>
                  <a:defRPr/>
                </a:pPr>
                <a:r>
                  <a:rPr lang="en-US"/>
                  <a:t>Event Day</a:t>
                </a:r>
              </a:p>
            </c:rich>
          </c:tx>
          <c:overlay val="0"/>
        </c:title>
        <c:numFmt formatCode="m/d;@" sourceLinked="0"/>
        <c:majorTickMark val="out"/>
        <c:minorTickMark val="none"/>
        <c:tickLblPos val="nextTo"/>
        <c:txPr>
          <a:bodyPr rot="-2700000"/>
          <a:lstStyle/>
          <a:p>
            <a:pPr>
              <a:defRPr sz="800" baseline="0"/>
            </a:pPr>
            <a:endParaRPr lang="en-US"/>
          </a:p>
        </c:txPr>
        <c:crossAx val="209111816"/>
        <c:crosses val="autoZero"/>
        <c:auto val="1"/>
        <c:lblOffset val="100"/>
        <c:baseTimeUnit val="days"/>
        <c:majorUnit val="3"/>
        <c:majorTimeUnit val="days"/>
        <c:minorUnit val="2"/>
      </c:dateAx>
      <c:valAx>
        <c:axId val="209111816"/>
        <c:scaling>
          <c:orientation val="minMax"/>
        </c:scaling>
        <c:delete val="0"/>
        <c:axPos val="l"/>
        <c:majorGridlines/>
        <c:title>
          <c:tx>
            <c:rich>
              <a:bodyPr rot="-5400000" vert="horz"/>
              <a:lstStyle/>
              <a:p>
                <a:pPr>
                  <a:defRPr/>
                </a:pPr>
                <a:r>
                  <a:rPr lang="en-US"/>
                  <a:t>Daily Cases</a:t>
                </a:r>
              </a:p>
            </c:rich>
          </c:tx>
          <c:overlay val="0"/>
        </c:title>
        <c:numFmt formatCode="General" sourceLinked="1"/>
        <c:majorTickMark val="out"/>
        <c:minorTickMark val="none"/>
        <c:tickLblPos val="nextTo"/>
        <c:crossAx val="209111424"/>
        <c:crosses val="autoZero"/>
        <c:crossBetween val="between"/>
      </c:valAx>
    </c:plotArea>
    <c:legend>
      <c:legendPos val="r"/>
      <c:layout>
        <c:manualLayout>
          <c:xMode val="edge"/>
          <c:yMode val="edge"/>
          <c:x val="0.57492160881336984"/>
          <c:y val="0.23807409308403768"/>
          <c:w val="0.33725469163988581"/>
          <c:h val="0.23105938143500104"/>
        </c:manualLayout>
      </c:layout>
      <c:overlay val="0"/>
      <c:spPr>
        <a:solidFill>
          <a:schemeClr val="bg1"/>
        </a:solidFill>
        <a:ln>
          <a:solidFill>
            <a:schemeClr val="accent1">
              <a:shade val="95000"/>
              <a:satMod val="105000"/>
            </a:schemeClr>
          </a:solidFill>
        </a:ln>
      </c:spPr>
    </c:legend>
    <c:plotVisOnly val="0"/>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1" i="0" baseline="0">
                <a:effectLst/>
              </a:rPr>
              <a:t>Actual and Forecasted Time Series</a:t>
            </a:r>
            <a:endParaRPr lang="en-US" sz="1200" baseline="0">
              <a:effectLst/>
            </a:endParaRPr>
          </a:p>
        </c:rich>
      </c:tx>
      <c:overlay val="0"/>
    </c:title>
    <c:autoTitleDeleted val="0"/>
    <c:plotArea>
      <c:layout>
        <c:manualLayout>
          <c:layoutTarget val="inner"/>
          <c:xMode val="edge"/>
          <c:yMode val="edge"/>
          <c:x val="0.11556623176085677"/>
          <c:y val="0.15142704907036897"/>
          <c:w val="0.82108037292648572"/>
          <c:h val="0.67279547362617342"/>
        </c:manualLayout>
      </c:layout>
      <c:barChart>
        <c:barDir val="col"/>
        <c:grouping val="clustered"/>
        <c:varyColors val="0"/>
        <c:ser>
          <c:idx val="1"/>
          <c:order val="0"/>
          <c:tx>
            <c:v>Detected</c:v>
          </c:tx>
          <c:spPr>
            <a:solidFill>
              <a:schemeClr val="accent2"/>
            </a:solidFill>
          </c:spPr>
          <c:invertIfNegative val="0"/>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Model'!$H$271:$H$330</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er>
        <c:dLbls>
          <c:showLegendKey val="0"/>
          <c:showVal val="0"/>
          <c:showCatName val="0"/>
          <c:showSerName val="0"/>
          <c:showPercent val="0"/>
          <c:showBubbleSize val="0"/>
        </c:dLbls>
        <c:gapWidth val="50"/>
        <c:overlap val="100"/>
        <c:axId val="209435920"/>
        <c:axId val="209436312"/>
      </c:barChart>
      <c:lineChart>
        <c:grouping val="standard"/>
        <c:varyColors val="0"/>
        <c:ser>
          <c:idx val="0"/>
          <c:order val="1"/>
          <c:tx>
            <c:v>Forecast</c:v>
          </c:tx>
          <c:spPr>
            <a:ln>
              <a:solidFill>
                <a:srgbClr val="769DDC"/>
              </a:solidFill>
              <a:prstDash val="dash"/>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Model'!$G$271:$G$330</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2"/>
          <c:order val="2"/>
          <c:tx>
            <c:v>95% Prob Range Boundary</c:v>
          </c:tx>
          <c:spPr>
            <a:ln>
              <a:solidFill>
                <a:srgbClr val="C00000"/>
              </a:solidFill>
              <a:prstDash val="sysDot"/>
            </a:ln>
          </c:spPr>
          <c:marker>
            <c:symbol val="none"/>
          </c:marker>
          <c:val>
            <c:numRef>
              <c:f>'Epi-Curve Model'!$N$271:$N$330</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dLbls>
          <c:showLegendKey val="0"/>
          <c:showVal val="0"/>
          <c:showCatName val="0"/>
          <c:showSerName val="0"/>
          <c:showPercent val="0"/>
          <c:showBubbleSize val="0"/>
        </c:dLbls>
        <c:marker val="1"/>
        <c:smooth val="0"/>
        <c:axId val="209435920"/>
        <c:axId val="209436312"/>
      </c:lineChart>
      <c:dateAx>
        <c:axId val="209435920"/>
        <c:scaling>
          <c:orientation val="minMax"/>
        </c:scaling>
        <c:delete val="0"/>
        <c:axPos val="b"/>
        <c:title>
          <c:tx>
            <c:rich>
              <a:bodyPr/>
              <a:lstStyle/>
              <a:p>
                <a:pPr>
                  <a:defRPr/>
                </a:pPr>
                <a:r>
                  <a:rPr lang="en-US"/>
                  <a:t>Event Day</a:t>
                </a:r>
              </a:p>
            </c:rich>
          </c:tx>
          <c:overlay val="0"/>
        </c:title>
        <c:numFmt formatCode="m/d;@" sourceLinked="0"/>
        <c:majorTickMark val="out"/>
        <c:minorTickMark val="none"/>
        <c:tickLblPos val="nextTo"/>
        <c:txPr>
          <a:bodyPr rot="-2700000"/>
          <a:lstStyle/>
          <a:p>
            <a:pPr>
              <a:defRPr sz="800" baseline="0"/>
            </a:pPr>
            <a:endParaRPr lang="en-US"/>
          </a:p>
        </c:txPr>
        <c:crossAx val="209436312"/>
        <c:crosses val="autoZero"/>
        <c:auto val="1"/>
        <c:lblOffset val="100"/>
        <c:baseTimeUnit val="days"/>
        <c:majorUnit val="3"/>
        <c:majorTimeUnit val="days"/>
        <c:minorUnit val="2"/>
      </c:dateAx>
      <c:valAx>
        <c:axId val="209436312"/>
        <c:scaling>
          <c:orientation val="minMax"/>
        </c:scaling>
        <c:delete val="0"/>
        <c:axPos val="l"/>
        <c:majorGridlines/>
        <c:title>
          <c:tx>
            <c:rich>
              <a:bodyPr rot="-5400000" vert="horz"/>
              <a:lstStyle/>
              <a:p>
                <a:pPr>
                  <a:defRPr/>
                </a:pPr>
                <a:r>
                  <a:rPr lang="en-US"/>
                  <a:t>Daily Cases</a:t>
                </a:r>
              </a:p>
            </c:rich>
          </c:tx>
          <c:overlay val="0"/>
        </c:title>
        <c:numFmt formatCode="General" sourceLinked="1"/>
        <c:majorTickMark val="out"/>
        <c:minorTickMark val="none"/>
        <c:tickLblPos val="nextTo"/>
        <c:crossAx val="209435920"/>
        <c:crosses val="autoZero"/>
        <c:crossBetween val="between"/>
      </c:valAx>
    </c:plotArea>
    <c:legend>
      <c:legendPos val="r"/>
      <c:layout>
        <c:manualLayout>
          <c:xMode val="edge"/>
          <c:yMode val="edge"/>
          <c:x val="0.50144352783913437"/>
          <c:y val="0.16516968926983025"/>
          <c:w val="0.32352557165925494"/>
          <c:h val="0.2987509328326709"/>
        </c:manualLayout>
      </c:layout>
      <c:overlay val="0"/>
      <c:spPr>
        <a:solidFill>
          <a:schemeClr val="bg1"/>
        </a:solidFill>
        <a:ln>
          <a:solidFill>
            <a:schemeClr val="accent1">
              <a:shade val="95000"/>
              <a:satMod val="105000"/>
            </a:schemeClr>
          </a:solidFill>
        </a:ln>
      </c:spPr>
    </c:legend>
    <c:plotVisOnly val="0"/>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aseline="0"/>
              <a:t>P.E.P. Campaign Impact on Projected</a:t>
            </a:r>
            <a:r>
              <a:rPr lang="en-US" sz="1400" baseline="30000"/>
              <a:t>^</a:t>
            </a:r>
            <a:r>
              <a:rPr lang="en-US" sz="1400" baseline="0"/>
              <a:t> Total </a:t>
            </a:r>
          </a:p>
          <a:p>
            <a:pPr>
              <a:defRPr/>
            </a:pPr>
            <a:r>
              <a:rPr lang="en-US" sz="1400" baseline="0"/>
              <a:t>Cases and Deaths</a:t>
            </a:r>
          </a:p>
        </c:rich>
      </c:tx>
      <c:layout>
        <c:manualLayout>
          <c:xMode val="edge"/>
          <c:yMode val="edge"/>
          <c:x val="0.16442009361155899"/>
          <c:y val="1.7486338797814208E-2"/>
        </c:manualLayout>
      </c:layout>
      <c:overlay val="0"/>
    </c:title>
    <c:autoTitleDeleted val="0"/>
    <c:plotArea>
      <c:layout>
        <c:manualLayout>
          <c:layoutTarget val="inner"/>
          <c:xMode val="edge"/>
          <c:yMode val="edge"/>
          <c:x val="0.12281490607456413"/>
          <c:y val="0.15788203557888597"/>
          <c:w val="0.81052124005926185"/>
          <c:h val="0.59881365749497195"/>
        </c:manualLayout>
      </c:layout>
      <c:barChart>
        <c:barDir val="col"/>
        <c:grouping val="clustered"/>
        <c:varyColors val="0"/>
        <c:ser>
          <c:idx val="0"/>
          <c:order val="0"/>
          <c:tx>
            <c:strRef>
              <c:f>'PEP Impact Model'!$W$19</c:f>
              <c:strCache>
                <c:ptCount val="1"/>
                <c:pt idx="0">
                  <c:v>Unmitigated Event</c:v>
                </c:pt>
              </c:strCache>
            </c:strRef>
          </c:tx>
          <c:spPr>
            <a:solidFill>
              <a:srgbClr val="C00000"/>
            </a:solidFill>
          </c:spPr>
          <c:invertIfNegative val="0"/>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'PEP Impact Model'!$V$20:$V$21</c:f>
              <c:strCache>
                <c:ptCount val="2"/>
                <c:pt idx="0">
                  <c:v>Cases</c:v>
                </c:pt>
                <c:pt idx="1">
                  <c:v>Deaths</c:v>
                </c:pt>
              </c:strCache>
            </c:strRef>
          </c:cat>
          <c:val>
            <c:numRef>
              <c:f>'PEP Impact Model'!$W$20:$W$21</c:f>
              <c:numCache>
                <c:formatCode>0</c:formatCode>
                <c:ptCount val="2"/>
                <c:pt idx="0">
                  <c:v>#N/A</c:v>
                </c:pt>
                <c:pt idx="1">
                  <c:v>#N/A</c:v>
                </c:pt>
              </c:numCache>
            </c:numRef>
          </c:val>
        </c:ser>
        <c:ser>
          <c:idx val="1"/>
          <c:order val="1"/>
          <c:tx>
            <c:strRef>
              <c:f>'PEP Impact Model'!$X$19</c:f>
              <c:strCache>
                <c:ptCount val="1"/>
                <c:pt idx="0">
                  <c:v>Event with a PEP Campaign*</c:v>
                </c:pt>
              </c:strCache>
            </c:strRef>
          </c:tx>
          <c:spPr>
            <a:solidFill>
              <a:srgbClr val="0070C0"/>
            </a:solidFill>
          </c:spPr>
          <c:invertIfNegative val="0"/>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'PEP Impact Model'!$V$20:$V$21</c:f>
              <c:strCache>
                <c:ptCount val="2"/>
                <c:pt idx="0">
                  <c:v>Cases</c:v>
                </c:pt>
                <c:pt idx="1">
                  <c:v>Deaths</c:v>
                </c:pt>
              </c:strCache>
            </c:strRef>
          </c:cat>
          <c:val>
            <c:numRef>
              <c:f>'PEP Impact Model'!$X$20:$X$21</c:f>
              <c:numCache>
                <c:formatCode>0</c:formatCode>
                <c:ptCount val="2"/>
                <c:pt idx="0">
                  <c:v>0</c:v>
                </c:pt>
                <c:pt idx="1">
                  <c:v>0</c:v>
                </c:pt>
              </c:numCache>
            </c:numRef>
          </c:val>
        </c:ser>
        <c:dLbls>
          <c:showLegendKey val="0"/>
          <c:showVal val="0"/>
          <c:showCatName val="0"/>
          <c:showSerName val="0"/>
          <c:showPercent val="0"/>
          <c:showBubbleSize val="0"/>
        </c:dLbls>
        <c:gapWidth val="51"/>
        <c:overlap val="100"/>
        <c:axId val="206602928"/>
        <c:axId val="206370216"/>
      </c:barChart>
      <c:catAx>
        <c:axId val="206602928"/>
        <c:scaling>
          <c:orientation val="minMax"/>
        </c:scaling>
        <c:delete val="0"/>
        <c:axPos val="b"/>
        <c:numFmt formatCode="General" sourceLinked="0"/>
        <c:majorTickMark val="out"/>
        <c:minorTickMark val="none"/>
        <c:tickLblPos val="nextTo"/>
        <c:txPr>
          <a:bodyPr/>
          <a:lstStyle/>
          <a:p>
            <a:pPr>
              <a:defRPr sz="1200" b="1"/>
            </a:pPr>
            <a:endParaRPr lang="en-US"/>
          </a:p>
        </c:txPr>
        <c:crossAx val="206370216"/>
        <c:crosses val="autoZero"/>
        <c:auto val="1"/>
        <c:lblAlgn val="ctr"/>
        <c:lblOffset val="100"/>
        <c:noMultiLvlLbl val="0"/>
      </c:catAx>
      <c:valAx>
        <c:axId val="206370216"/>
        <c:scaling>
          <c:orientation val="minMax"/>
        </c:scaling>
        <c:delete val="0"/>
        <c:axPos val="l"/>
        <c:numFmt formatCode="0" sourceLinked="1"/>
        <c:majorTickMark val="out"/>
        <c:minorTickMark val="none"/>
        <c:tickLblPos val="nextTo"/>
        <c:crossAx val="206602928"/>
        <c:crosses val="autoZero"/>
        <c:crossBetween val="between"/>
      </c:valAx>
    </c:plotArea>
    <c:legend>
      <c:legendPos val="r"/>
      <c:layout>
        <c:manualLayout>
          <c:xMode val="edge"/>
          <c:yMode val="edge"/>
          <c:x val="0.58605010357800702"/>
          <c:y val="0.21393468439395896"/>
          <c:w val="0.34752953741888587"/>
          <c:h val="0.11792805002440229"/>
        </c:manualLayout>
      </c:layout>
      <c:overlay val="0"/>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kern="1000" baseline="0"/>
            </a:pPr>
            <a:r>
              <a:rPr lang="en-US" sz="1200" kern="1000" baseline="0"/>
              <a:t>Actual and Forecasted Unmitigated Cumulative Case Counts</a:t>
            </a:r>
          </a:p>
        </c:rich>
      </c:tx>
      <c:layout>
        <c:manualLayout>
          <c:xMode val="edge"/>
          <c:yMode val="edge"/>
          <c:x val="0.17078908008987695"/>
          <c:y val="2.5050310294669191E-2"/>
        </c:manualLayout>
      </c:layout>
      <c:overlay val="0"/>
    </c:title>
    <c:autoTitleDeleted val="0"/>
    <c:plotArea>
      <c:layout>
        <c:manualLayout>
          <c:layoutTarget val="inner"/>
          <c:xMode val="edge"/>
          <c:yMode val="edge"/>
          <c:x val="0.13956445231047776"/>
          <c:y val="0.27659718984232445"/>
          <c:w val="0.82492535872623995"/>
          <c:h val="0.5445964298968331"/>
        </c:manualLayout>
      </c:layout>
      <c:barChart>
        <c:barDir val="col"/>
        <c:grouping val="clustered"/>
        <c:varyColors val="0"/>
        <c:ser>
          <c:idx val="3"/>
          <c:order val="2"/>
          <c:tx>
            <c:v>Detected</c:v>
          </c:tx>
          <c:spPr>
            <a:solidFill>
              <a:schemeClr val="accent2"/>
            </a:solidFill>
            <a:ln w="0">
              <a:solidFill>
                <a:srgbClr val="C00000"/>
              </a:solidFill>
            </a:ln>
          </c:spPr>
          <c:invertIfNegative val="0"/>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Model'!$J$271:$J$330</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er>
        <c:dLbls>
          <c:showLegendKey val="0"/>
          <c:showVal val="0"/>
          <c:showCatName val="0"/>
          <c:showSerName val="0"/>
          <c:showPercent val="0"/>
          <c:showBubbleSize val="0"/>
        </c:dLbls>
        <c:gapWidth val="50"/>
        <c:overlap val="100"/>
        <c:axId val="209437096"/>
        <c:axId val="209437488"/>
      </c:barChart>
      <c:lineChart>
        <c:grouping val="standard"/>
        <c:varyColors val="0"/>
        <c:ser>
          <c:idx val="2"/>
          <c:order val="0"/>
          <c:spPr>
            <a:ln w="28575">
              <a:solidFill>
                <a:schemeClr val="accent2">
                  <a:shade val="95000"/>
                  <a:satMod val="105000"/>
                </a:schemeClr>
              </a:solidFill>
              <a:prstDash val="sysDot"/>
            </a:ln>
            <a:effectLst/>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Model'!$M$271:$M$330</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0"/>
          <c:order val="1"/>
          <c:tx>
            <c:v>Max Liklihood Estimate</c:v>
          </c:tx>
          <c:spPr>
            <a:ln>
              <a:solidFill>
                <a:schemeClr val="tx2">
                  <a:lumMod val="40000"/>
                  <a:lumOff val="60000"/>
                </a:schemeClr>
              </a:solidFill>
              <a:prstDash val="dash"/>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Model'!$I$271:$I$330</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1"/>
          <c:order val="3"/>
          <c:tx>
            <c:v>Estimate 95% C.I.</c:v>
          </c:tx>
          <c:spPr>
            <a:ln>
              <a:prstDash val="sysDot"/>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Model'!$L$271:$L$330</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dLbls>
          <c:showLegendKey val="0"/>
          <c:showVal val="0"/>
          <c:showCatName val="0"/>
          <c:showSerName val="0"/>
          <c:showPercent val="0"/>
          <c:showBubbleSize val="0"/>
        </c:dLbls>
        <c:marker val="1"/>
        <c:smooth val="0"/>
        <c:axId val="209437096"/>
        <c:axId val="209437488"/>
      </c:lineChart>
      <c:dateAx>
        <c:axId val="209437096"/>
        <c:scaling>
          <c:orientation val="minMax"/>
        </c:scaling>
        <c:delete val="0"/>
        <c:axPos val="b"/>
        <c:title>
          <c:tx>
            <c:rich>
              <a:bodyPr/>
              <a:lstStyle/>
              <a:p>
                <a:pPr>
                  <a:defRPr/>
                </a:pPr>
                <a:r>
                  <a:rPr lang="en-US"/>
                  <a:t>Event</a:t>
                </a:r>
                <a:r>
                  <a:rPr lang="en-US" baseline="0"/>
                  <a:t> Day</a:t>
                </a:r>
                <a:endParaRPr lang="en-US"/>
              </a:p>
            </c:rich>
          </c:tx>
          <c:overlay val="0"/>
        </c:title>
        <c:numFmt formatCode="m/d;@" sourceLinked="0"/>
        <c:majorTickMark val="out"/>
        <c:minorTickMark val="none"/>
        <c:tickLblPos val="nextTo"/>
        <c:txPr>
          <a:bodyPr rot="-2700000" vert="horz"/>
          <a:lstStyle/>
          <a:p>
            <a:pPr>
              <a:defRPr sz="800" baseline="0"/>
            </a:pPr>
            <a:endParaRPr lang="en-US"/>
          </a:p>
        </c:txPr>
        <c:crossAx val="209437488"/>
        <c:crosses val="autoZero"/>
        <c:auto val="1"/>
        <c:lblOffset val="100"/>
        <c:baseTimeUnit val="days"/>
        <c:majorUnit val="3"/>
        <c:majorTimeUnit val="days"/>
        <c:minorUnit val="2"/>
      </c:dateAx>
      <c:valAx>
        <c:axId val="209437488"/>
        <c:scaling>
          <c:orientation val="minMax"/>
        </c:scaling>
        <c:delete val="0"/>
        <c:axPos val="l"/>
        <c:majorGridlines/>
        <c:title>
          <c:tx>
            <c:rich>
              <a:bodyPr rot="-5400000" vert="horz"/>
              <a:lstStyle/>
              <a:p>
                <a:pPr>
                  <a:defRPr/>
                </a:pPr>
                <a:r>
                  <a:rPr lang="en-US"/>
                  <a:t>Cumulative Cases</a:t>
                </a:r>
              </a:p>
            </c:rich>
          </c:tx>
          <c:overlay val="0"/>
        </c:title>
        <c:numFmt formatCode="General" sourceLinked="1"/>
        <c:majorTickMark val="out"/>
        <c:minorTickMark val="none"/>
        <c:tickLblPos val="nextTo"/>
        <c:crossAx val="209437096"/>
        <c:crosses val="autoZero"/>
        <c:crossBetween val="between"/>
      </c:valAx>
      <c:spPr>
        <a:noFill/>
        <a:ln>
          <a:noFill/>
        </a:ln>
      </c:spPr>
    </c:plotArea>
    <c:legend>
      <c:legendPos val="t"/>
      <c:legendEntry>
        <c:idx val="1"/>
        <c:delete val="1"/>
      </c:legendEntry>
      <c:overlay val="0"/>
      <c:spPr>
        <a:noFill/>
        <a:ln>
          <a:solidFill>
            <a:schemeClr val="tx2">
              <a:lumMod val="40000"/>
              <a:lumOff val="60000"/>
            </a:schemeClr>
          </a:solidFill>
        </a:ln>
      </c:spPr>
    </c:legend>
    <c:plotVisOnly val="0"/>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kern="1000" baseline="0"/>
            </a:pPr>
            <a:r>
              <a:rPr lang="en-US" sz="1200" kern="1000" baseline="0"/>
              <a:t>Actual and Forecasted Unmitigated Cumulative Case Counts - </a:t>
            </a:r>
            <a:r>
              <a:rPr lang="en-US" sz="1000" kern="1000" baseline="0"/>
              <a:t>Incubation Distribution: Wilkening,</a:t>
            </a:r>
            <a:r>
              <a:rPr lang="en-US" sz="1000" b="1" i="0" u="none" strike="noStrike" baseline="0">
                <a:effectLst/>
              </a:rPr>
              <a:t> </a:t>
            </a:r>
            <a:r>
              <a:rPr lang="en-US" sz="1000" kern="1000" baseline="0"/>
              <a:t>Case Assignment Method: 3</a:t>
            </a:r>
          </a:p>
        </c:rich>
      </c:tx>
      <c:layout>
        <c:manualLayout>
          <c:xMode val="edge"/>
          <c:yMode val="edge"/>
          <c:x val="0.17078908008987695"/>
          <c:y val="2.5050310294669191E-2"/>
        </c:manualLayout>
      </c:layout>
      <c:overlay val="0"/>
    </c:title>
    <c:autoTitleDeleted val="0"/>
    <c:plotArea>
      <c:layout>
        <c:manualLayout>
          <c:layoutTarget val="inner"/>
          <c:xMode val="edge"/>
          <c:yMode val="edge"/>
          <c:x val="0.13956445231047776"/>
          <c:y val="0.27659718984232445"/>
          <c:w val="0.82492535872623995"/>
          <c:h val="0.5445964298968331"/>
        </c:manualLayout>
      </c:layout>
      <c:barChart>
        <c:barDir val="col"/>
        <c:grouping val="clustered"/>
        <c:varyColors val="0"/>
        <c:ser>
          <c:idx val="3"/>
          <c:order val="2"/>
          <c:tx>
            <c:v>Detected</c:v>
          </c:tx>
          <c:spPr>
            <a:solidFill>
              <a:schemeClr val="accent2"/>
            </a:solidFill>
            <a:ln w="0">
              <a:solidFill>
                <a:srgbClr val="C00000"/>
              </a:solidFill>
            </a:ln>
          </c:spPr>
          <c:invertIfNegative val="0"/>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Model'!$J$271:$J$330</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er>
        <c:dLbls>
          <c:showLegendKey val="0"/>
          <c:showVal val="0"/>
          <c:showCatName val="0"/>
          <c:showSerName val="0"/>
          <c:showPercent val="0"/>
          <c:showBubbleSize val="0"/>
        </c:dLbls>
        <c:gapWidth val="50"/>
        <c:overlap val="100"/>
        <c:axId val="209438272"/>
        <c:axId val="209438664"/>
      </c:barChart>
      <c:lineChart>
        <c:grouping val="standard"/>
        <c:varyColors val="0"/>
        <c:ser>
          <c:idx val="2"/>
          <c:order val="0"/>
          <c:spPr>
            <a:ln w="28575">
              <a:solidFill>
                <a:schemeClr val="accent2">
                  <a:shade val="95000"/>
                  <a:satMod val="105000"/>
                </a:schemeClr>
              </a:solidFill>
              <a:prstDash val="sysDot"/>
            </a:ln>
            <a:effectLst/>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Model'!$Y$271:$Y$330</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0"/>
          <c:order val="1"/>
          <c:tx>
            <c:v>Max Liklihood Estimate</c:v>
          </c:tx>
          <c:spPr>
            <a:ln>
              <a:solidFill>
                <a:schemeClr val="tx2">
                  <a:lumMod val="40000"/>
                  <a:lumOff val="60000"/>
                </a:schemeClr>
              </a:solidFill>
              <a:prstDash val="dash"/>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Model'!$S$271:$S$330</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1"/>
          <c:order val="3"/>
          <c:tx>
            <c:v>Estimate 95% C.I.</c:v>
          </c:tx>
          <c:spPr>
            <a:ln>
              <a:prstDash val="sysDot"/>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Model'!$AE$271:$AE$330</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dLbls>
          <c:showLegendKey val="0"/>
          <c:showVal val="0"/>
          <c:showCatName val="0"/>
          <c:showSerName val="0"/>
          <c:showPercent val="0"/>
          <c:showBubbleSize val="0"/>
        </c:dLbls>
        <c:marker val="1"/>
        <c:smooth val="0"/>
        <c:axId val="209438272"/>
        <c:axId val="209438664"/>
      </c:lineChart>
      <c:dateAx>
        <c:axId val="209438272"/>
        <c:scaling>
          <c:orientation val="minMax"/>
        </c:scaling>
        <c:delete val="0"/>
        <c:axPos val="b"/>
        <c:title>
          <c:tx>
            <c:rich>
              <a:bodyPr/>
              <a:lstStyle/>
              <a:p>
                <a:pPr>
                  <a:defRPr/>
                </a:pPr>
                <a:r>
                  <a:rPr lang="en-US"/>
                  <a:t>Event</a:t>
                </a:r>
                <a:r>
                  <a:rPr lang="en-US" baseline="0"/>
                  <a:t> Day</a:t>
                </a:r>
                <a:endParaRPr lang="en-US"/>
              </a:p>
            </c:rich>
          </c:tx>
          <c:overlay val="0"/>
        </c:title>
        <c:numFmt formatCode="m/d;@" sourceLinked="0"/>
        <c:majorTickMark val="out"/>
        <c:minorTickMark val="none"/>
        <c:tickLblPos val="nextTo"/>
        <c:txPr>
          <a:bodyPr rot="-2700000" vert="horz"/>
          <a:lstStyle/>
          <a:p>
            <a:pPr>
              <a:defRPr sz="800" baseline="0"/>
            </a:pPr>
            <a:endParaRPr lang="en-US"/>
          </a:p>
        </c:txPr>
        <c:crossAx val="209438664"/>
        <c:crosses val="autoZero"/>
        <c:auto val="1"/>
        <c:lblOffset val="100"/>
        <c:baseTimeUnit val="days"/>
        <c:majorUnit val="3"/>
        <c:majorTimeUnit val="days"/>
        <c:minorUnit val="2"/>
      </c:dateAx>
      <c:valAx>
        <c:axId val="209438664"/>
        <c:scaling>
          <c:orientation val="minMax"/>
        </c:scaling>
        <c:delete val="0"/>
        <c:axPos val="l"/>
        <c:majorGridlines/>
        <c:title>
          <c:tx>
            <c:rich>
              <a:bodyPr rot="-5400000" vert="horz"/>
              <a:lstStyle/>
              <a:p>
                <a:pPr>
                  <a:defRPr/>
                </a:pPr>
                <a:r>
                  <a:rPr lang="en-US"/>
                  <a:t>Cumulative Cases</a:t>
                </a:r>
              </a:p>
            </c:rich>
          </c:tx>
          <c:overlay val="0"/>
        </c:title>
        <c:numFmt formatCode="General" sourceLinked="1"/>
        <c:majorTickMark val="out"/>
        <c:minorTickMark val="none"/>
        <c:tickLblPos val="nextTo"/>
        <c:crossAx val="209438272"/>
        <c:crosses val="autoZero"/>
        <c:crossBetween val="between"/>
      </c:valAx>
      <c:spPr>
        <a:noFill/>
        <a:ln>
          <a:noFill/>
        </a:ln>
      </c:spPr>
    </c:plotArea>
    <c:legend>
      <c:legendPos val="t"/>
      <c:legendEntry>
        <c:idx val="1"/>
        <c:delete val="1"/>
      </c:legendEntry>
      <c:overlay val="0"/>
      <c:spPr>
        <a:noFill/>
        <a:ln>
          <a:solidFill>
            <a:schemeClr val="tx2">
              <a:lumMod val="40000"/>
              <a:lumOff val="60000"/>
            </a:schemeClr>
          </a:solidFill>
        </a:ln>
      </c:spPr>
    </c:legend>
    <c:plotVisOnly val="0"/>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200" b="1" i="0" baseline="0">
                <a:effectLst/>
              </a:rPr>
              <a:t>Actual and Forecasted Unmitigated Time Series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000" b="1" i="0" baseline="0">
                <a:effectLst/>
              </a:rPr>
              <a:t>Incubation Distribution: Wilkening, Case Assignment Method: 3</a:t>
            </a:r>
            <a:endParaRPr lang="en-US"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endParaRPr lang="en-US" sz="1200" baseline="0">
              <a:effectLst/>
            </a:endParaRPr>
          </a:p>
        </c:rich>
      </c:tx>
      <c:overlay val="0"/>
    </c:title>
    <c:autoTitleDeleted val="0"/>
    <c:plotArea>
      <c:layout>
        <c:manualLayout>
          <c:layoutTarget val="inner"/>
          <c:xMode val="edge"/>
          <c:yMode val="edge"/>
          <c:x val="0.11556623176085677"/>
          <c:y val="0.15142704907036897"/>
          <c:w val="0.82108037292648572"/>
          <c:h val="0.67279547362617342"/>
        </c:manualLayout>
      </c:layout>
      <c:barChart>
        <c:barDir val="col"/>
        <c:grouping val="clustered"/>
        <c:varyColors val="0"/>
        <c:ser>
          <c:idx val="1"/>
          <c:order val="2"/>
          <c:tx>
            <c:v>Detected</c:v>
          </c:tx>
          <c:invertIfNegative val="0"/>
          <c:val>
            <c:numRef>
              <c:f>'Epi-Curve Model'!$H$271:$H$330</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er>
        <c:dLbls>
          <c:showLegendKey val="0"/>
          <c:showVal val="0"/>
          <c:showCatName val="0"/>
          <c:showSerName val="0"/>
          <c:showPercent val="0"/>
          <c:showBubbleSize val="0"/>
        </c:dLbls>
        <c:gapWidth val="50"/>
        <c:axId val="210066512"/>
        <c:axId val="210066904"/>
      </c:barChart>
      <c:lineChart>
        <c:grouping val="standard"/>
        <c:varyColors val="0"/>
        <c:ser>
          <c:idx val="0"/>
          <c:order val="0"/>
          <c:tx>
            <c:v>Forecast</c:v>
          </c:tx>
          <c:spPr>
            <a:ln>
              <a:solidFill>
                <a:srgbClr val="769DDC"/>
              </a:solidFill>
              <a:prstDash val="dash"/>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Model'!$R$271:$R$330</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2"/>
          <c:order val="1"/>
          <c:tx>
            <c:v>95% C.I. Upper Boundary</c:v>
          </c:tx>
          <c:spPr>
            <a:ln>
              <a:solidFill>
                <a:srgbClr val="C00000"/>
              </a:solidFill>
              <a:prstDash val="sysDot"/>
            </a:ln>
          </c:spPr>
          <c:marker>
            <c:symbol val="none"/>
          </c:marker>
          <c:val>
            <c:numRef>
              <c:f>'Epi-Curve Model'!$AD$271:$AD$330</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dLbls>
          <c:showLegendKey val="0"/>
          <c:showVal val="0"/>
          <c:showCatName val="0"/>
          <c:showSerName val="0"/>
          <c:showPercent val="0"/>
          <c:showBubbleSize val="0"/>
        </c:dLbls>
        <c:marker val="1"/>
        <c:smooth val="0"/>
        <c:axId val="210066512"/>
        <c:axId val="210066904"/>
      </c:lineChart>
      <c:dateAx>
        <c:axId val="210066512"/>
        <c:scaling>
          <c:orientation val="minMax"/>
        </c:scaling>
        <c:delete val="0"/>
        <c:axPos val="b"/>
        <c:title>
          <c:tx>
            <c:rich>
              <a:bodyPr/>
              <a:lstStyle/>
              <a:p>
                <a:pPr>
                  <a:defRPr/>
                </a:pPr>
                <a:r>
                  <a:rPr lang="en-US"/>
                  <a:t>Event Day</a:t>
                </a:r>
              </a:p>
            </c:rich>
          </c:tx>
          <c:overlay val="0"/>
        </c:title>
        <c:numFmt formatCode="m/d;@" sourceLinked="0"/>
        <c:majorTickMark val="out"/>
        <c:minorTickMark val="none"/>
        <c:tickLblPos val="nextTo"/>
        <c:txPr>
          <a:bodyPr rot="-2700000"/>
          <a:lstStyle/>
          <a:p>
            <a:pPr>
              <a:defRPr sz="800" baseline="0"/>
            </a:pPr>
            <a:endParaRPr lang="en-US"/>
          </a:p>
        </c:txPr>
        <c:crossAx val="210066904"/>
        <c:crosses val="autoZero"/>
        <c:auto val="1"/>
        <c:lblOffset val="100"/>
        <c:baseTimeUnit val="days"/>
        <c:majorUnit val="3"/>
        <c:minorUnit val="2"/>
      </c:dateAx>
      <c:valAx>
        <c:axId val="210066904"/>
        <c:scaling>
          <c:orientation val="minMax"/>
        </c:scaling>
        <c:delete val="0"/>
        <c:axPos val="l"/>
        <c:majorGridlines/>
        <c:title>
          <c:tx>
            <c:rich>
              <a:bodyPr rot="-5400000" vert="horz"/>
              <a:lstStyle/>
              <a:p>
                <a:pPr>
                  <a:defRPr/>
                </a:pPr>
                <a:r>
                  <a:rPr lang="en-US"/>
                  <a:t>Daily Cases</a:t>
                </a:r>
              </a:p>
            </c:rich>
          </c:tx>
          <c:overlay val="0"/>
        </c:title>
        <c:numFmt formatCode="General" sourceLinked="1"/>
        <c:majorTickMark val="out"/>
        <c:minorTickMark val="none"/>
        <c:tickLblPos val="nextTo"/>
        <c:crossAx val="210066512"/>
        <c:crosses val="autoZero"/>
        <c:crossBetween val="between"/>
      </c:valAx>
    </c:plotArea>
    <c:legend>
      <c:legendPos val="r"/>
      <c:layout>
        <c:manualLayout>
          <c:xMode val="edge"/>
          <c:yMode val="edge"/>
          <c:x val="0.57492160881336984"/>
          <c:y val="0.23807409308403768"/>
          <c:w val="0.33725469163988581"/>
          <c:h val="0.23105938143500104"/>
        </c:manualLayout>
      </c:layout>
      <c:overlay val="0"/>
      <c:spPr>
        <a:solidFill>
          <a:schemeClr val="bg1"/>
        </a:solidFill>
        <a:ln>
          <a:solidFill>
            <a:schemeClr val="accent1">
              <a:shade val="95000"/>
              <a:satMod val="105000"/>
            </a:schemeClr>
          </a:solidFill>
        </a:ln>
      </c:spPr>
    </c:legend>
    <c:plotVisOnly val="0"/>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1" i="0" baseline="0">
                <a:effectLst/>
              </a:rPr>
              <a:t>Actual and Forecasted Time Series</a:t>
            </a:r>
            <a:endParaRPr lang="en-US" sz="1200" baseline="0">
              <a:effectLst/>
            </a:endParaRPr>
          </a:p>
        </c:rich>
      </c:tx>
      <c:overlay val="0"/>
    </c:title>
    <c:autoTitleDeleted val="0"/>
    <c:plotArea>
      <c:layout>
        <c:manualLayout>
          <c:layoutTarget val="inner"/>
          <c:xMode val="edge"/>
          <c:yMode val="edge"/>
          <c:x val="0.11556623176085677"/>
          <c:y val="0.15142704907036897"/>
          <c:w val="0.82108037292648572"/>
          <c:h val="0.67279547362617342"/>
        </c:manualLayout>
      </c:layout>
      <c:barChart>
        <c:barDir val="col"/>
        <c:grouping val="clustered"/>
        <c:varyColors val="0"/>
        <c:ser>
          <c:idx val="1"/>
          <c:order val="0"/>
          <c:tx>
            <c:v>Detected</c:v>
          </c:tx>
          <c:spPr>
            <a:solidFill>
              <a:schemeClr val="accent2"/>
            </a:solidFill>
          </c:spPr>
          <c:invertIfNegative val="0"/>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Model'!$H$200:$H$259</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er>
        <c:dLbls>
          <c:showLegendKey val="0"/>
          <c:showVal val="0"/>
          <c:showCatName val="0"/>
          <c:showSerName val="0"/>
          <c:showPercent val="0"/>
          <c:showBubbleSize val="0"/>
        </c:dLbls>
        <c:gapWidth val="50"/>
        <c:overlap val="100"/>
        <c:axId val="210067296"/>
        <c:axId val="210067688"/>
      </c:barChart>
      <c:lineChart>
        <c:grouping val="standard"/>
        <c:varyColors val="0"/>
        <c:ser>
          <c:idx val="0"/>
          <c:order val="1"/>
          <c:tx>
            <c:v>Forecast</c:v>
          </c:tx>
          <c:spPr>
            <a:ln>
              <a:solidFill>
                <a:srgbClr val="769DDC"/>
              </a:solidFill>
              <a:prstDash val="dash"/>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Model'!$G$200:$G$259</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2"/>
          <c:order val="2"/>
          <c:tx>
            <c:v>95% Prob Range Boundary</c:v>
          </c:tx>
          <c:spPr>
            <a:ln>
              <a:solidFill>
                <a:srgbClr val="C00000"/>
              </a:solidFill>
              <a:prstDash val="sysDot"/>
            </a:ln>
          </c:spPr>
          <c:marker>
            <c:symbol val="none"/>
          </c:marker>
          <c:val>
            <c:numRef>
              <c:f>'Epi-Curve Model'!$N$200:$N$259</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dLbls>
          <c:showLegendKey val="0"/>
          <c:showVal val="0"/>
          <c:showCatName val="0"/>
          <c:showSerName val="0"/>
          <c:showPercent val="0"/>
          <c:showBubbleSize val="0"/>
        </c:dLbls>
        <c:marker val="1"/>
        <c:smooth val="0"/>
        <c:axId val="210067296"/>
        <c:axId val="210067688"/>
      </c:lineChart>
      <c:dateAx>
        <c:axId val="210067296"/>
        <c:scaling>
          <c:orientation val="minMax"/>
        </c:scaling>
        <c:delete val="0"/>
        <c:axPos val="b"/>
        <c:title>
          <c:tx>
            <c:rich>
              <a:bodyPr/>
              <a:lstStyle/>
              <a:p>
                <a:pPr>
                  <a:defRPr/>
                </a:pPr>
                <a:r>
                  <a:rPr lang="en-US"/>
                  <a:t>Event Day</a:t>
                </a:r>
              </a:p>
            </c:rich>
          </c:tx>
          <c:overlay val="0"/>
        </c:title>
        <c:numFmt formatCode="m/d;@" sourceLinked="0"/>
        <c:majorTickMark val="out"/>
        <c:minorTickMark val="none"/>
        <c:tickLblPos val="nextTo"/>
        <c:txPr>
          <a:bodyPr rot="-2700000"/>
          <a:lstStyle/>
          <a:p>
            <a:pPr>
              <a:defRPr sz="800" baseline="0"/>
            </a:pPr>
            <a:endParaRPr lang="en-US"/>
          </a:p>
        </c:txPr>
        <c:crossAx val="210067688"/>
        <c:crosses val="autoZero"/>
        <c:auto val="1"/>
        <c:lblOffset val="100"/>
        <c:baseTimeUnit val="days"/>
        <c:majorUnit val="3"/>
        <c:majorTimeUnit val="days"/>
        <c:minorUnit val="2"/>
      </c:dateAx>
      <c:valAx>
        <c:axId val="210067688"/>
        <c:scaling>
          <c:orientation val="minMax"/>
        </c:scaling>
        <c:delete val="0"/>
        <c:axPos val="l"/>
        <c:majorGridlines/>
        <c:title>
          <c:tx>
            <c:rich>
              <a:bodyPr rot="-5400000" vert="horz"/>
              <a:lstStyle/>
              <a:p>
                <a:pPr>
                  <a:defRPr/>
                </a:pPr>
                <a:r>
                  <a:rPr lang="en-US"/>
                  <a:t>Daily Cases</a:t>
                </a:r>
              </a:p>
            </c:rich>
          </c:tx>
          <c:overlay val="0"/>
        </c:title>
        <c:numFmt formatCode="General" sourceLinked="1"/>
        <c:majorTickMark val="out"/>
        <c:minorTickMark val="none"/>
        <c:tickLblPos val="nextTo"/>
        <c:crossAx val="210067296"/>
        <c:crosses val="autoZero"/>
        <c:crossBetween val="between"/>
      </c:valAx>
    </c:plotArea>
    <c:legend>
      <c:legendPos val="r"/>
      <c:layout>
        <c:manualLayout>
          <c:xMode val="edge"/>
          <c:yMode val="edge"/>
          <c:x val="0.50144352783913437"/>
          <c:y val="0.16516968926983025"/>
          <c:w val="0.32352557165925494"/>
          <c:h val="0.2987509328326709"/>
        </c:manualLayout>
      </c:layout>
      <c:overlay val="0"/>
      <c:spPr>
        <a:solidFill>
          <a:schemeClr val="bg1"/>
        </a:solidFill>
        <a:ln>
          <a:solidFill>
            <a:schemeClr val="accent1">
              <a:shade val="95000"/>
              <a:satMod val="105000"/>
            </a:schemeClr>
          </a:solidFill>
        </a:ln>
      </c:spPr>
    </c:legend>
    <c:plotVisOnly val="0"/>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kern="1000" baseline="0"/>
            </a:pPr>
            <a:r>
              <a:rPr lang="en-US" sz="1200" kern="1000" baseline="0"/>
              <a:t>Actual and Forecasted Unmitigated Cumulative Case Counts</a:t>
            </a:r>
          </a:p>
        </c:rich>
      </c:tx>
      <c:layout>
        <c:manualLayout>
          <c:xMode val="edge"/>
          <c:yMode val="edge"/>
          <c:x val="0.17078908008987695"/>
          <c:y val="2.5050310294669191E-2"/>
        </c:manualLayout>
      </c:layout>
      <c:overlay val="0"/>
    </c:title>
    <c:autoTitleDeleted val="0"/>
    <c:plotArea>
      <c:layout>
        <c:manualLayout>
          <c:layoutTarget val="inner"/>
          <c:xMode val="edge"/>
          <c:yMode val="edge"/>
          <c:x val="0.13956445231047776"/>
          <c:y val="0.27659718984232445"/>
          <c:w val="0.82492535872623995"/>
          <c:h val="0.5445964298968331"/>
        </c:manualLayout>
      </c:layout>
      <c:barChart>
        <c:barDir val="col"/>
        <c:grouping val="clustered"/>
        <c:varyColors val="0"/>
        <c:ser>
          <c:idx val="3"/>
          <c:order val="2"/>
          <c:tx>
            <c:v>Detected</c:v>
          </c:tx>
          <c:spPr>
            <a:solidFill>
              <a:schemeClr val="accent2"/>
            </a:solidFill>
            <a:ln w="0">
              <a:solidFill>
                <a:srgbClr val="C00000"/>
              </a:solidFill>
            </a:ln>
          </c:spPr>
          <c:invertIfNegative val="0"/>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Model'!$J$200:$J$259</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er>
        <c:dLbls>
          <c:showLegendKey val="0"/>
          <c:showVal val="0"/>
          <c:showCatName val="0"/>
          <c:showSerName val="0"/>
          <c:showPercent val="0"/>
          <c:showBubbleSize val="0"/>
        </c:dLbls>
        <c:gapWidth val="50"/>
        <c:overlap val="100"/>
        <c:axId val="210068472"/>
        <c:axId val="210068864"/>
      </c:barChart>
      <c:lineChart>
        <c:grouping val="standard"/>
        <c:varyColors val="0"/>
        <c:ser>
          <c:idx val="2"/>
          <c:order val="0"/>
          <c:spPr>
            <a:ln w="28575">
              <a:solidFill>
                <a:schemeClr val="accent2">
                  <a:shade val="95000"/>
                  <a:satMod val="105000"/>
                </a:schemeClr>
              </a:solidFill>
              <a:prstDash val="sysDot"/>
            </a:ln>
            <a:effectLst/>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Model'!$M$200:$M$259</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0"/>
          <c:order val="1"/>
          <c:tx>
            <c:v>Max Liklihood Estimate</c:v>
          </c:tx>
          <c:spPr>
            <a:ln>
              <a:solidFill>
                <a:schemeClr val="tx2">
                  <a:lumMod val="40000"/>
                  <a:lumOff val="60000"/>
                </a:schemeClr>
              </a:solidFill>
              <a:prstDash val="dash"/>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Model'!$I$200:$I$259</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1"/>
          <c:order val="3"/>
          <c:tx>
            <c:v>Estimate 95% C.I.</c:v>
          </c:tx>
          <c:spPr>
            <a:ln>
              <a:prstDash val="sysDot"/>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Model'!$L$200:$L$259</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dLbls>
          <c:showLegendKey val="0"/>
          <c:showVal val="0"/>
          <c:showCatName val="0"/>
          <c:showSerName val="0"/>
          <c:showPercent val="0"/>
          <c:showBubbleSize val="0"/>
        </c:dLbls>
        <c:marker val="1"/>
        <c:smooth val="0"/>
        <c:axId val="210068472"/>
        <c:axId val="210068864"/>
      </c:lineChart>
      <c:dateAx>
        <c:axId val="210068472"/>
        <c:scaling>
          <c:orientation val="minMax"/>
        </c:scaling>
        <c:delete val="0"/>
        <c:axPos val="b"/>
        <c:title>
          <c:tx>
            <c:rich>
              <a:bodyPr/>
              <a:lstStyle/>
              <a:p>
                <a:pPr>
                  <a:defRPr/>
                </a:pPr>
                <a:r>
                  <a:rPr lang="en-US"/>
                  <a:t>Event</a:t>
                </a:r>
                <a:r>
                  <a:rPr lang="en-US" baseline="0"/>
                  <a:t> Day</a:t>
                </a:r>
                <a:endParaRPr lang="en-US"/>
              </a:p>
            </c:rich>
          </c:tx>
          <c:overlay val="0"/>
        </c:title>
        <c:numFmt formatCode="m/d;@" sourceLinked="0"/>
        <c:majorTickMark val="out"/>
        <c:minorTickMark val="none"/>
        <c:tickLblPos val="nextTo"/>
        <c:txPr>
          <a:bodyPr rot="-2700000" vert="horz"/>
          <a:lstStyle/>
          <a:p>
            <a:pPr>
              <a:defRPr sz="800" baseline="0"/>
            </a:pPr>
            <a:endParaRPr lang="en-US"/>
          </a:p>
        </c:txPr>
        <c:crossAx val="210068864"/>
        <c:crosses val="autoZero"/>
        <c:auto val="1"/>
        <c:lblOffset val="100"/>
        <c:baseTimeUnit val="days"/>
        <c:majorUnit val="3"/>
        <c:majorTimeUnit val="days"/>
        <c:minorUnit val="2"/>
      </c:dateAx>
      <c:valAx>
        <c:axId val="210068864"/>
        <c:scaling>
          <c:orientation val="minMax"/>
        </c:scaling>
        <c:delete val="0"/>
        <c:axPos val="l"/>
        <c:majorGridlines/>
        <c:title>
          <c:tx>
            <c:rich>
              <a:bodyPr rot="-5400000" vert="horz"/>
              <a:lstStyle/>
              <a:p>
                <a:pPr>
                  <a:defRPr/>
                </a:pPr>
                <a:r>
                  <a:rPr lang="en-US"/>
                  <a:t>Cumulative Cases</a:t>
                </a:r>
              </a:p>
            </c:rich>
          </c:tx>
          <c:overlay val="0"/>
        </c:title>
        <c:numFmt formatCode="General" sourceLinked="1"/>
        <c:majorTickMark val="out"/>
        <c:minorTickMark val="none"/>
        <c:tickLblPos val="nextTo"/>
        <c:crossAx val="210068472"/>
        <c:crosses val="autoZero"/>
        <c:crossBetween val="between"/>
      </c:valAx>
      <c:spPr>
        <a:noFill/>
        <a:ln>
          <a:noFill/>
        </a:ln>
      </c:spPr>
    </c:plotArea>
    <c:legend>
      <c:legendPos val="t"/>
      <c:legendEntry>
        <c:idx val="1"/>
        <c:delete val="1"/>
      </c:legendEntry>
      <c:overlay val="0"/>
      <c:spPr>
        <a:noFill/>
        <a:ln>
          <a:solidFill>
            <a:schemeClr val="tx2">
              <a:lumMod val="40000"/>
              <a:lumOff val="60000"/>
            </a:schemeClr>
          </a:solidFill>
        </a:ln>
      </c:spPr>
    </c:legend>
    <c:plotVisOnly val="0"/>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kern="1000" baseline="0"/>
            </a:pPr>
            <a:r>
              <a:rPr lang="en-US" sz="1200" kern="1000" baseline="0"/>
              <a:t>Actual and Forecasted Unmitigated Cumulative Case Counts - </a:t>
            </a:r>
            <a:r>
              <a:rPr lang="en-US" sz="1000" kern="1000" baseline="0"/>
              <a:t>Incubation Distribution: Wilkening,</a:t>
            </a:r>
            <a:r>
              <a:rPr lang="en-US" sz="1000" b="1" i="0" u="none" strike="noStrike" baseline="0">
                <a:effectLst/>
              </a:rPr>
              <a:t> </a:t>
            </a:r>
            <a:r>
              <a:rPr lang="en-US" sz="1000" kern="1000" baseline="0"/>
              <a:t>Case Assignment Method: 2</a:t>
            </a:r>
          </a:p>
        </c:rich>
      </c:tx>
      <c:layout>
        <c:manualLayout>
          <c:xMode val="edge"/>
          <c:yMode val="edge"/>
          <c:x val="0.17078908008987695"/>
          <c:y val="2.5050310294669191E-2"/>
        </c:manualLayout>
      </c:layout>
      <c:overlay val="0"/>
    </c:title>
    <c:autoTitleDeleted val="0"/>
    <c:plotArea>
      <c:layout>
        <c:manualLayout>
          <c:layoutTarget val="inner"/>
          <c:xMode val="edge"/>
          <c:yMode val="edge"/>
          <c:x val="0.13956445231047776"/>
          <c:y val="0.27659718984232445"/>
          <c:w val="0.82492535872623995"/>
          <c:h val="0.5445964298968331"/>
        </c:manualLayout>
      </c:layout>
      <c:barChart>
        <c:barDir val="col"/>
        <c:grouping val="clustered"/>
        <c:varyColors val="0"/>
        <c:ser>
          <c:idx val="3"/>
          <c:order val="2"/>
          <c:tx>
            <c:v>Detected</c:v>
          </c:tx>
          <c:spPr>
            <a:solidFill>
              <a:schemeClr val="accent2"/>
            </a:solidFill>
            <a:ln w="0">
              <a:solidFill>
                <a:srgbClr val="C00000"/>
              </a:solidFill>
            </a:ln>
          </c:spPr>
          <c:invertIfNegative val="0"/>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Model'!$J$200:$J$259</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er>
        <c:dLbls>
          <c:showLegendKey val="0"/>
          <c:showVal val="0"/>
          <c:showCatName val="0"/>
          <c:showSerName val="0"/>
          <c:showPercent val="0"/>
          <c:showBubbleSize val="0"/>
        </c:dLbls>
        <c:gapWidth val="50"/>
        <c:overlap val="100"/>
        <c:axId val="210069648"/>
        <c:axId val="209772264"/>
      </c:barChart>
      <c:lineChart>
        <c:grouping val="standard"/>
        <c:varyColors val="0"/>
        <c:ser>
          <c:idx val="2"/>
          <c:order val="0"/>
          <c:spPr>
            <a:ln w="28575">
              <a:solidFill>
                <a:schemeClr val="accent2">
                  <a:shade val="95000"/>
                  <a:satMod val="105000"/>
                </a:schemeClr>
              </a:solidFill>
              <a:prstDash val="sysDot"/>
            </a:ln>
            <a:effectLst/>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Model'!$Y$200:$Y$259</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0"/>
          <c:order val="1"/>
          <c:tx>
            <c:v>Max Liklihood Estimate</c:v>
          </c:tx>
          <c:spPr>
            <a:ln>
              <a:solidFill>
                <a:schemeClr val="tx2">
                  <a:lumMod val="40000"/>
                  <a:lumOff val="60000"/>
                </a:schemeClr>
              </a:solidFill>
              <a:prstDash val="dash"/>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Model'!$S$200:$S$259</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1"/>
          <c:order val="3"/>
          <c:tx>
            <c:v>Estimate 95% C.I.</c:v>
          </c:tx>
          <c:spPr>
            <a:ln>
              <a:prstDash val="sysDot"/>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Model'!$AE$200:$AE$259</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dLbls>
          <c:showLegendKey val="0"/>
          <c:showVal val="0"/>
          <c:showCatName val="0"/>
          <c:showSerName val="0"/>
          <c:showPercent val="0"/>
          <c:showBubbleSize val="0"/>
        </c:dLbls>
        <c:marker val="1"/>
        <c:smooth val="0"/>
        <c:axId val="210069648"/>
        <c:axId val="209772264"/>
      </c:lineChart>
      <c:dateAx>
        <c:axId val="210069648"/>
        <c:scaling>
          <c:orientation val="minMax"/>
        </c:scaling>
        <c:delete val="0"/>
        <c:axPos val="b"/>
        <c:title>
          <c:tx>
            <c:rich>
              <a:bodyPr/>
              <a:lstStyle/>
              <a:p>
                <a:pPr>
                  <a:defRPr/>
                </a:pPr>
                <a:r>
                  <a:rPr lang="en-US"/>
                  <a:t>Event</a:t>
                </a:r>
                <a:r>
                  <a:rPr lang="en-US" baseline="0"/>
                  <a:t> Day</a:t>
                </a:r>
                <a:endParaRPr lang="en-US"/>
              </a:p>
            </c:rich>
          </c:tx>
          <c:overlay val="0"/>
        </c:title>
        <c:numFmt formatCode="m/d;@" sourceLinked="0"/>
        <c:majorTickMark val="out"/>
        <c:minorTickMark val="none"/>
        <c:tickLblPos val="nextTo"/>
        <c:txPr>
          <a:bodyPr rot="-2700000" vert="horz"/>
          <a:lstStyle/>
          <a:p>
            <a:pPr>
              <a:defRPr sz="800" baseline="0"/>
            </a:pPr>
            <a:endParaRPr lang="en-US"/>
          </a:p>
        </c:txPr>
        <c:crossAx val="209772264"/>
        <c:crosses val="autoZero"/>
        <c:auto val="1"/>
        <c:lblOffset val="100"/>
        <c:baseTimeUnit val="days"/>
        <c:majorUnit val="3"/>
        <c:majorTimeUnit val="days"/>
        <c:minorUnit val="2"/>
      </c:dateAx>
      <c:valAx>
        <c:axId val="209772264"/>
        <c:scaling>
          <c:orientation val="minMax"/>
        </c:scaling>
        <c:delete val="0"/>
        <c:axPos val="l"/>
        <c:majorGridlines/>
        <c:title>
          <c:tx>
            <c:rich>
              <a:bodyPr rot="-5400000" vert="horz"/>
              <a:lstStyle/>
              <a:p>
                <a:pPr>
                  <a:defRPr/>
                </a:pPr>
                <a:r>
                  <a:rPr lang="en-US"/>
                  <a:t>Cumulative Cases</a:t>
                </a:r>
              </a:p>
            </c:rich>
          </c:tx>
          <c:overlay val="0"/>
        </c:title>
        <c:numFmt formatCode="General" sourceLinked="1"/>
        <c:majorTickMark val="out"/>
        <c:minorTickMark val="none"/>
        <c:tickLblPos val="nextTo"/>
        <c:crossAx val="210069648"/>
        <c:crosses val="autoZero"/>
        <c:crossBetween val="between"/>
      </c:valAx>
      <c:spPr>
        <a:noFill/>
        <a:ln>
          <a:noFill/>
        </a:ln>
      </c:spPr>
    </c:plotArea>
    <c:legend>
      <c:legendPos val="t"/>
      <c:legendEntry>
        <c:idx val="1"/>
        <c:delete val="1"/>
      </c:legendEntry>
      <c:overlay val="0"/>
      <c:spPr>
        <a:noFill/>
        <a:ln>
          <a:solidFill>
            <a:schemeClr val="tx2">
              <a:lumMod val="40000"/>
              <a:lumOff val="60000"/>
            </a:schemeClr>
          </a:solidFill>
        </a:ln>
      </c:spPr>
    </c:legend>
    <c:plotVisOnly val="0"/>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200" b="1" i="0" baseline="0">
                <a:effectLst/>
              </a:rPr>
              <a:t>Actual and Forecasted Unmitigated Time Series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000" b="1" i="0" baseline="0">
                <a:effectLst/>
              </a:rPr>
              <a:t>Incubation Distribution: Wilkening, Case Assignment Method: 2</a:t>
            </a:r>
            <a:endParaRPr lang="en-US"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endParaRPr lang="en-US" sz="1200" baseline="0">
              <a:effectLst/>
            </a:endParaRPr>
          </a:p>
        </c:rich>
      </c:tx>
      <c:overlay val="0"/>
    </c:title>
    <c:autoTitleDeleted val="0"/>
    <c:plotArea>
      <c:layout>
        <c:manualLayout>
          <c:layoutTarget val="inner"/>
          <c:xMode val="edge"/>
          <c:yMode val="edge"/>
          <c:x val="0.11556623176085677"/>
          <c:y val="0.15142704907036897"/>
          <c:w val="0.82108037292648572"/>
          <c:h val="0.67279547362617342"/>
        </c:manualLayout>
      </c:layout>
      <c:barChart>
        <c:barDir val="col"/>
        <c:grouping val="clustered"/>
        <c:varyColors val="0"/>
        <c:ser>
          <c:idx val="1"/>
          <c:order val="2"/>
          <c:tx>
            <c:v>Detected</c:v>
          </c:tx>
          <c:invertIfNegative val="0"/>
          <c:val>
            <c:numRef>
              <c:f>'Epi-Curve Model'!$H$200:$H$259</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er>
        <c:dLbls>
          <c:showLegendKey val="0"/>
          <c:showVal val="0"/>
          <c:showCatName val="0"/>
          <c:showSerName val="0"/>
          <c:showPercent val="0"/>
          <c:showBubbleSize val="0"/>
        </c:dLbls>
        <c:gapWidth val="50"/>
        <c:axId val="209773048"/>
        <c:axId val="209773440"/>
      </c:barChart>
      <c:lineChart>
        <c:grouping val="standard"/>
        <c:varyColors val="0"/>
        <c:ser>
          <c:idx val="0"/>
          <c:order val="0"/>
          <c:tx>
            <c:v>Forecast</c:v>
          </c:tx>
          <c:spPr>
            <a:ln>
              <a:solidFill>
                <a:srgbClr val="769DDC"/>
              </a:solidFill>
              <a:prstDash val="dash"/>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Model'!$R$200:$R$259</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2"/>
          <c:order val="1"/>
          <c:tx>
            <c:v>95% C.I. Upper Boundary</c:v>
          </c:tx>
          <c:spPr>
            <a:ln>
              <a:solidFill>
                <a:srgbClr val="C00000"/>
              </a:solidFill>
              <a:prstDash val="sysDot"/>
            </a:ln>
          </c:spPr>
          <c:marker>
            <c:symbol val="none"/>
          </c:marker>
          <c:val>
            <c:numRef>
              <c:f>'Epi-Curve Model'!$AD$200:$AD$259</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dLbls>
          <c:showLegendKey val="0"/>
          <c:showVal val="0"/>
          <c:showCatName val="0"/>
          <c:showSerName val="0"/>
          <c:showPercent val="0"/>
          <c:showBubbleSize val="0"/>
        </c:dLbls>
        <c:marker val="1"/>
        <c:smooth val="0"/>
        <c:axId val="209773048"/>
        <c:axId val="209773440"/>
      </c:lineChart>
      <c:dateAx>
        <c:axId val="209773048"/>
        <c:scaling>
          <c:orientation val="minMax"/>
        </c:scaling>
        <c:delete val="0"/>
        <c:axPos val="b"/>
        <c:title>
          <c:tx>
            <c:rich>
              <a:bodyPr/>
              <a:lstStyle/>
              <a:p>
                <a:pPr>
                  <a:defRPr/>
                </a:pPr>
                <a:r>
                  <a:rPr lang="en-US"/>
                  <a:t>Event Day</a:t>
                </a:r>
              </a:p>
            </c:rich>
          </c:tx>
          <c:overlay val="0"/>
        </c:title>
        <c:numFmt formatCode="m/d;@" sourceLinked="0"/>
        <c:majorTickMark val="out"/>
        <c:minorTickMark val="none"/>
        <c:tickLblPos val="nextTo"/>
        <c:txPr>
          <a:bodyPr rot="-2700000"/>
          <a:lstStyle/>
          <a:p>
            <a:pPr>
              <a:defRPr sz="800" baseline="0"/>
            </a:pPr>
            <a:endParaRPr lang="en-US"/>
          </a:p>
        </c:txPr>
        <c:crossAx val="209773440"/>
        <c:crosses val="autoZero"/>
        <c:auto val="1"/>
        <c:lblOffset val="100"/>
        <c:baseTimeUnit val="days"/>
        <c:majorUnit val="3"/>
        <c:majorTimeUnit val="days"/>
        <c:minorUnit val="2"/>
      </c:dateAx>
      <c:valAx>
        <c:axId val="209773440"/>
        <c:scaling>
          <c:orientation val="minMax"/>
        </c:scaling>
        <c:delete val="0"/>
        <c:axPos val="l"/>
        <c:majorGridlines/>
        <c:title>
          <c:tx>
            <c:rich>
              <a:bodyPr rot="-5400000" vert="horz"/>
              <a:lstStyle/>
              <a:p>
                <a:pPr>
                  <a:defRPr/>
                </a:pPr>
                <a:r>
                  <a:rPr lang="en-US"/>
                  <a:t>Daily Cases</a:t>
                </a:r>
              </a:p>
            </c:rich>
          </c:tx>
          <c:overlay val="0"/>
        </c:title>
        <c:numFmt formatCode="General" sourceLinked="1"/>
        <c:majorTickMark val="out"/>
        <c:minorTickMark val="none"/>
        <c:tickLblPos val="nextTo"/>
        <c:crossAx val="209773048"/>
        <c:crosses val="autoZero"/>
        <c:crossBetween val="between"/>
      </c:valAx>
    </c:plotArea>
    <c:legend>
      <c:legendPos val="r"/>
      <c:layout>
        <c:manualLayout>
          <c:xMode val="edge"/>
          <c:yMode val="edge"/>
          <c:x val="0.57492160881336984"/>
          <c:y val="0.23807409308403768"/>
          <c:w val="0.33725469163988581"/>
          <c:h val="0.23105938143500104"/>
        </c:manualLayout>
      </c:layout>
      <c:overlay val="0"/>
      <c:spPr>
        <a:solidFill>
          <a:schemeClr val="bg1"/>
        </a:solidFill>
        <a:ln>
          <a:solidFill>
            <a:schemeClr val="accent1">
              <a:shade val="95000"/>
              <a:satMod val="105000"/>
            </a:schemeClr>
          </a:solidFill>
        </a:ln>
      </c:spPr>
    </c:legend>
    <c:plotVisOnly val="0"/>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aseline="0"/>
              <a:t>P.E.P. Campaign Impact on Projected Total Cases/Deaths</a:t>
            </a:r>
          </a:p>
        </c:rich>
      </c:tx>
      <c:layout/>
      <c:overlay val="0"/>
    </c:title>
    <c:autoTitleDeleted val="0"/>
    <c:plotArea>
      <c:layout>
        <c:manualLayout>
          <c:layoutTarget val="inner"/>
          <c:xMode val="edge"/>
          <c:yMode val="edge"/>
          <c:x val="0.12281490607456413"/>
          <c:y val="0.15788203557888597"/>
          <c:w val="0.85630690456928582"/>
          <c:h val="0.63340333782755143"/>
        </c:manualLayout>
      </c:layout>
      <c:barChart>
        <c:barDir val="col"/>
        <c:grouping val="clustered"/>
        <c:varyColors val="0"/>
        <c:ser>
          <c:idx val="0"/>
          <c:order val="0"/>
          <c:tx>
            <c:strRef>
              <c:f>'PEP Impact Model'!$W$19</c:f>
              <c:strCache>
                <c:ptCount val="1"/>
                <c:pt idx="0">
                  <c:v>Unmitigated Event</c:v>
                </c:pt>
              </c:strCache>
            </c:strRef>
          </c:tx>
          <c:spPr>
            <a:solidFill>
              <a:srgbClr val="C00000"/>
            </a:solidFill>
          </c:spPr>
          <c:invertIfNegative val="0"/>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'PEP Impact Model'!$V$20:$V$21</c:f>
              <c:strCache>
                <c:ptCount val="2"/>
                <c:pt idx="0">
                  <c:v>Cases</c:v>
                </c:pt>
                <c:pt idx="1">
                  <c:v>Deaths</c:v>
                </c:pt>
              </c:strCache>
            </c:strRef>
          </c:cat>
          <c:val>
            <c:numRef>
              <c:f>'PEP Impact Model'!$W$20:$W$21</c:f>
              <c:numCache>
                <c:formatCode>0</c:formatCode>
                <c:ptCount val="2"/>
                <c:pt idx="0">
                  <c:v>#N/A</c:v>
                </c:pt>
                <c:pt idx="1">
                  <c:v>#N/A</c:v>
                </c:pt>
              </c:numCache>
            </c:numRef>
          </c:val>
        </c:ser>
        <c:ser>
          <c:idx val="1"/>
          <c:order val="1"/>
          <c:tx>
            <c:strRef>
              <c:f>'PEP Impact Model'!$X$19</c:f>
              <c:strCache>
                <c:ptCount val="1"/>
                <c:pt idx="0">
                  <c:v>Event with a PEP Campaign*</c:v>
                </c:pt>
              </c:strCache>
            </c:strRef>
          </c:tx>
          <c:spPr>
            <a:solidFill>
              <a:srgbClr val="0070C0"/>
            </a:solidFill>
          </c:spPr>
          <c:invertIfNegative val="0"/>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'PEP Impact Model'!$V$20:$V$21</c:f>
              <c:strCache>
                <c:ptCount val="2"/>
                <c:pt idx="0">
                  <c:v>Cases</c:v>
                </c:pt>
                <c:pt idx="1">
                  <c:v>Deaths</c:v>
                </c:pt>
              </c:strCache>
            </c:strRef>
          </c:cat>
          <c:val>
            <c:numRef>
              <c:f>'PEP Impact Model'!$X$20:$X$21</c:f>
              <c:numCache>
                <c:formatCode>0</c:formatCode>
                <c:ptCount val="2"/>
                <c:pt idx="0">
                  <c:v>0</c:v>
                </c:pt>
                <c:pt idx="1">
                  <c:v>0</c:v>
                </c:pt>
              </c:numCache>
            </c:numRef>
          </c:val>
        </c:ser>
        <c:dLbls>
          <c:showLegendKey val="0"/>
          <c:showVal val="0"/>
          <c:showCatName val="0"/>
          <c:showSerName val="0"/>
          <c:showPercent val="0"/>
          <c:showBubbleSize val="0"/>
        </c:dLbls>
        <c:gapWidth val="51"/>
        <c:overlap val="100"/>
        <c:axId val="209774224"/>
        <c:axId val="209774616"/>
      </c:barChart>
      <c:catAx>
        <c:axId val="209774224"/>
        <c:scaling>
          <c:orientation val="minMax"/>
        </c:scaling>
        <c:delete val="0"/>
        <c:axPos val="b"/>
        <c:numFmt formatCode="General" sourceLinked="0"/>
        <c:majorTickMark val="out"/>
        <c:minorTickMark val="none"/>
        <c:tickLblPos val="nextTo"/>
        <c:txPr>
          <a:bodyPr/>
          <a:lstStyle/>
          <a:p>
            <a:pPr>
              <a:defRPr sz="1200" b="1"/>
            </a:pPr>
            <a:endParaRPr lang="en-US"/>
          </a:p>
        </c:txPr>
        <c:crossAx val="209774616"/>
        <c:crosses val="autoZero"/>
        <c:auto val="1"/>
        <c:lblAlgn val="ctr"/>
        <c:lblOffset val="100"/>
        <c:noMultiLvlLbl val="0"/>
      </c:catAx>
      <c:valAx>
        <c:axId val="209774616"/>
        <c:scaling>
          <c:orientation val="minMax"/>
        </c:scaling>
        <c:delete val="0"/>
        <c:axPos val="l"/>
        <c:numFmt formatCode="0" sourceLinked="1"/>
        <c:majorTickMark val="out"/>
        <c:minorTickMark val="none"/>
        <c:tickLblPos val="nextTo"/>
        <c:crossAx val="209774224"/>
        <c:crosses val="autoZero"/>
        <c:crossBetween val="between"/>
      </c:valAx>
    </c:plotArea>
    <c:legend>
      <c:legendPos val="r"/>
      <c:layout>
        <c:manualLayout>
          <c:xMode val="edge"/>
          <c:yMode val="edge"/>
          <c:x val="0.58605011687186048"/>
          <c:y val="0.19644839857210988"/>
          <c:w val="0.34752953741888587"/>
          <c:h val="0.20014902766692158"/>
        </c:manualLayout>
      </c:layout>
      <c:overlay val="0"/>
    </c:legend>
    <c:plotVisOnly val="1"/>
    <c:dispBlanksAs val="gap"/>
    <c:showDLblsOverMax val="0"/>
  </c:chart>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sz="1400"/>
            </a:pPr>
            <a:r>
              <a:rPr lang="en-US" sz="1400"/>
              <a:t>Detected</a:t>
            </a:r>
            <a:r>
              <a:rPr lang="en-US" sz="1400" baseline="0"/>
              <a:t> Cases to-date and Daily </a:t>
            </a:r>
            <a:r>
              <a:rPr lang="en-US" sz="1400"/>
              <a:t>Time Series Case Count</a:t>
            </a:r>
            <a:r>
              <a:rPr lang="en-US" sz="1400" baseline="0"/>
              <a:t> </a:t>
            </a:r>
            <a:r>
              <a:rPr lang="en-US" sz="1400"/>
              <a:t>Forecasts, Without and</a:t>
            </a:r>
            <a:r>
              <a:rPr lang="en-US" sz="1400" baseline="0"/>
              <a:t> With</a:t>
            </a:r>
            <a:r>
              <a:rPr lang="en-US" sz="1400"/>
              <a:t> Intervention*</a:t>
            </a:r>
          </a:p>
        </c:rich>
      </c:tx>
      <c:layout>
        <c:manualLayout>
          <c:xMode val="edge"/>
          <c:yMode val="edge"/>
          <c:x val="0.12575764719491345"/>
          <c:y val="2.4622272687469363E-2"/>
        </c:manualLayout>
      </c:layout>
      <c:overlay val="1"/>
    </c:title>
    <c:autoTitleDeleted val="0"/>
    <c:plotArea>
      <c:layout>
        <c:manualLayout>
          <c:layoutTarget val="inner"/>
          <c:xMode val="edge"/>
          <c:yMode val="edge"/>
          <c:x val="0.12041477061994357"/>
          <c:y val="0.15142697702793659"/>
          <c:w val="0.82108037292648572"/>
          <c:h val="0.59575684363286796"/>
        </c:manualLayout>
      </c:layout>
      <c:barChart>
        <c:barDir val="col"/>
        <c:grouping val="clustered"/>
        <c:varyColors val="0"/>
        <c:ser>
          <c:idx val="2"/>
          <c:order val="2"/>
          <c:tx>
            <c:v>Detected Cases</c:v>
          </c:tx>
          <c:spPr>
            <a:solidFill>
              <a:srgbClr val="FF0000"/>
            </a:solidFill>
          </c:spPr>
          <c:invertIfNegative val="0"/>
          <c:val>
            <c:numRef>
              <c:f>'PEP Impact Model'!$K$19:$K$78</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er>
        <c:dLbls>
          <c:showLegendKey val="0"/>
          <c:showVal val="0"/>
          <c:showCatName val="0"/>
          <c:showSerName val="0"/>
          <c:showPercent val="0"/>
          <c:showBubbleSize val="0"/>
        </c:dLbls>
        <c:gapWidth val="61"/>
        <c:axId val="209775400"/>
        <c:axId val="209775792"/>
      </c:barChart>
      <c:lineChart>
        <c:grouping val="standard"/>
        <c:varyColors val="0"/>
        <c:ser>
          <c:idx val="1"/>
          <c:order val="0"/>
          <c:tx>
            <c:v>Without Intervention</c:v>
          </c:tx>
          <c:marker>
            <c:symbol val="none"/>
          </c:marker>
          <c:cat>
            <c:numRef>
              <c:f>'PEP Impact Model'!$B$19:$B$78</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'PEP Impact Model'!$J$19:$J$78</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0"/>
          <c:order val="1"/>
          <c:tx>
            <c:v>With PEP Campaign</c:v>
          </c:tx>
          <c:marker>
            <c:symbol val="none"/>
          </c:marker>
          <c:cat>
            <c:numRef>
              <c:f>'PEP Impact Model'!$B$19:$B$78</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'PEP Impact Model'!$O$19:$O$78</c:f>
              <c:numCache>
                <c:formatCode>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ser>
        <c:dLbls>
          <c:showLegendKey val="0"/>
          <c:showVal val="0"/>
          <c:showCatName val="0"/>
          <c:showSerName val="0"/>
          <c:showPercent val="0"/>
          <c:showBubbleSize val="0"/>
        </c:dLbls>
        <c:marker val="1"/>
        <c:smooth val="0"/>
        <c:axId val="209775400"/>
        <c:axId val="209775792"/>
      </c:lineChart>
      <c:dateAx>
        <c:axId val="209775400"/>
        <c:scaling>
          <c:orientation val="minMax"/>
        </c:scaling>
        <c:delete val="0"/>
        <c:axPos val="b"/>
        <c:title>
          <c:tx>
            <c:rich>
              <a:bodyPr/>
              <a:lstStyle/>
              <a:p>
                <a:pPr>
                  <a:defRPr/>
                </a:pPr>
                <a:r>
                  <a:rPr lang="en-US"/>
                  <a:t>Event Day</a:t>
                </a:r>
              </a:p>
            </c:rich>
          </c:tx>
          <c:layout/>
          <c:overlay val="0"/>
        </c:title>
        <c:numFmt formatCode="m/d;@" sourceLinked="0"/>
        <c:majorTickMark val="out"/>
        <c:minorTickMark val="none"/>
        <c:tickLblPos val="nextTo"/>
        <c:txPr>
          <a:bodyPr rot="-2700000"/>
          <a:lstStyle/>
          <a:p>
            <a:pPr>
              <a:defRPr/>
            </a:pPr>
            <a:endParaRPr lang="en-US"/>
          </a:p>
        </c:txPr>
        <c:crossAx val="209775792"/>
        <c:crosses val="autoZero"/>
        <c:auto val="1"/>
        <c:lblOffset val="100"/>
        <c:baseTimeUnit val="days"/>
        <c:majorUnit val="3"/>
        <c:majorTimeUnit val="days"/>
        <c:minorUnit val="2"/>
      </c:dateAx>
      <c:valAx>
        <c:axId val="209775792"/>
        <c:scaling>
          <c:orientation val="minMax"/>
        </c:scaling>
        <c:delete val="0"/>
        <c:axPos val="l"/>
        <c:title>
          <c:tx>
            <c:rich>
              <a:bodyPr rot="-5400000" vert="horz"/>
              <a:lstStyle/>
              <a:p>
                <a:pPr>
                  <a:defRPr/>
                </a:pPr>
                <a:r>
                  <a:rPr lang="en-US"/>
                  <a:t>Cases</a:t>
                </a:r>
              </a:p>
            </c:rich>
          </c:tx>
          <c:layout/>
          <c:overlay val="0"/>
        </c:title>
        <c:numFmt formatCode="0" sourceLinked="1"/>
        <c:majorTickMark val="out"/>
        <c:minorTickMark val="none"/>
        <c:tickLblPos val="nextTo"/>
        <c:crossAx val="209775400"/>
        <c:crosses val="autoZero"/>
        <c:crossBetween val="between"/>
      </c:valAx>
    </c:plotArea>
    <c:legend>
      <c:legendPos val="r"/>
      <c:layout>
        <c:manualLayout>
          <c:xMode val="edge"/>
          <c:yMode val="edge"/>
          <c:x val="0.62486152137960083"/>
          <c:y val="0.23742689870776815"/>
          <c:w val="0.28228007019230344"/>
          <c:h val="0.33268229584598497"/>
        </c:manualLayout>
      </c:layout>
      <c:overlay val="0"/>
    </c:legend>
    <c:plotVisOnly val="1"/>
    <c:dispBlanksAs val="gap"/>
    <c:showDLblsOverMax val="0"/>
  </c:chart>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Projected </a:t>
            </a:r>
            <a:r>
              <a:rPr lang="en-US" sz="1400" baseline="0"/>
              <a:t>Hospitalization Surge, Treatment Outcomes, and  Treatment Census by Event Date</a:t>
            </a:r>
            <a:endParaRPr lang="en-US" sz="1400"/>
          </a:p>
        </c:rich>
      </c:tx>
      <c:layout/>
      <c:overlay val="0"/>
    </c:title>
    <c:autoTitleDeleted val="0"/>
    <c:plotArea>
      <c:layout>
        <c:manualLayout>
          <c:layoutTarget val="inner"/>
          <c:xMode val="edge"/>
          <c:yMode val="edge"/>
          <c:x val="0.10256335110262865"/>
          <c:y val="0.18544291158360438"/>
          <c:w val="0.78383792784788608"/>
          <c:h val="0.49503392197796925"/>
        </c:manualLayout>
      </c:layout>
      <c:lineChart>
        <c:grouping val="standard"/>
        <c:varyColors val="0"/>
        <c:ser>
          <c:idx val="0"/>
          <c:order val="0"/>
          <c:tx>
            <c:v>Newly symptomatic cases</c:v>
          </c:tx>
          <c:marker>
            <c:symbol val="none"/>
          </c:marker>
          <c:cat>
            <c:numRef>
              <c:f>Healthcare_Model!$B$27:$B$106</c:f>
              <c:numCache>
                <c:formatCode>m/d/yyyy</c:formatCode>
                <c:ptCount val="8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numCache>
            </c:numRef>
          </c:cat>
          <c:val>
            <c:numRef>
              <c:f>Healthcare_Model!$D$27:$D$106</c:f>
              <c:numCache>
                <c:formatCode>0</c:formatCode>
                <c:ptCount val="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1"/>
          <c:order val="1"/>
          <c:tx>
            <c:v>Cases entering Treatment</c:v>
          </c:tx>
          <c:marker>
            <c:symbol val="none"/>
          </c:marker>
          <c:val>
            <c:numRef>
              <c:f>Healthcare_Model!$AB$27:$AB$106</c:f>
              <c:numCache>
                <c:formatCode>General</c:formatCode>
                <c:ptCount val="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formatCode="0">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formatCode="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ser>
          <c:idx val="4"/>
          <c:order val="2"/>
          <c:tx>
            <c:v>Recovered</c:v>
          </c:tx>
          <c:marker>
            <c:symbol val="none"/>
          </c:marker>
          <c:val>
            <c:numRef>
              <c:f>Healthcare_Model!$AO$27:$AO$105</c:f>
              <c:numCache>
                <c:formatCode>General</c:formatCode>
                <c:ptCount val="79"/>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numCache>
            </c:numRef>
          </c:val>
          <c:smooth val="0"/>
        </c:ser>
        <c:ser>
          <c:idx val="3"/>
          <c:order val="3"/>
          <c:tx>
            <c:v>Deaths during Treatment</c:v>
          </c:tx>
          <c:marker>
            <c:symbol val="none"/>
          </c:marker>
          <c:val>
            <c:numRef>
              <c:f>Healthcare_Model!$AI$27:$AI$106</c:f>
              <c:numCache>
                <c:formatCode>General</c:formatCode>
                <c:ptCount val="80"/>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dLbls>
          <c:showLegendKey val="0"/>
          <c:showVal val="0"/>
          <c:showCatName val="0"/>
          <c:showSerName val="0"/>
          <c:showPercent val="0"/>
          <c:showBubbleSize val="0"/>
        </c:dLbls>
        <c:marker val="1"/>
        <c:smooth val="0"/>
        <c:axId val="207208608"/>
        <c:axId val="207209000"/>
      </c:lineChart>
      <c:lineChart>
        <c:grouping val="standard"/>
        <c:varyColors val="0"/>
        <c:ser>
          <c:idx val="5"/>
          <c:order val="4"/>
          <c:tx>
            <c:v>Treatment Load</c:v>
          </c:tx>
          <c:marker>
            <c:symbol val="none"/>
          </c:marker>
          <c:val>
            <c:numRef>
              <c:f>Healthcare_Model!$AU$27:$AU$106</c:f>
              <c:numCache>
                <c:formatCode>General</c:formatCode>
                <c:ptCount val="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dLbls>
          <c:showLegendKey val="0"/>
          <c:showVal val="0"/>
          <c:showCatName val="0"/>
          <c:showSerName val="0"/>
          <c:showPercent val="0"/>
          <c:showBubbleSize val="0"/>
        </c:dLbls>
        <c:marker val="1"/>
        <c:smooth val="0"/>
        <c:axId val="207209784"/>
        <c:axId val="207209392"/>
      </c:lineChart>
      <c:dateAx>
        <c:axId val="207208608"/>
        <c:scaling>
          <c:orientation val="minMax"/>
        </c:scaling>
        <c:delete val="0"/>
        <c:axPos val="b"/>
        <c:title>
          <c:tx>
            <c:rich>
              <a:bodyPr/>
              <a:lstStyle/>
              <a:p>
                <a:pPr>
                  <a:defRPr/>
                </a:pPr>
                <a:r>
                  <a:rPr lang="en-US"/>
                  <a:t>Event Date</a:t>
                </a:r>
              </a:p>
            </c:rich>
          </c:tx>
          <c:layout/>
          <c:overlay val="0"/>
        </c:title>
        <c:numFmt formatCode="m/d;@" sourceLinked="0"/>
        <c:majorTickMark val="out"/>
        <c:minorTickMark val="none"/>
        <c:tickLblPos val="nextTo"/>
        <c:txPr>
          <a:bodyPr rot="-2700000"/>
          <a:lstStyle/>
          <a:p>
            <a:pPr>
              <a:defRPr/>
            </a:pPr>
            <a:endParaRPr lang="en-US"/>
          </a:p>
        </c:txPr>
        <c:crossAx val="207209000"/>
        <c:crosses val="autoZero"/>
        <c:auto val="1"/>
        <c:lblOffset val="100"/>
        <c:baseTimeUnit val="days"/>
      </c:dateAx>
      <c:valAx>
        <c:axId val="207209000"/>
        <c:scaling>
          <c:orientation val="minMax"/>
        </c:scaling>
        <c:delete val="0"/>
        <c:axPos val="l"/>
        <c:majorGridlines/>
        <c:title>
          <c:tx>
            <c:rich>
              <a:bodyPr rot="-5400000" vert="horz"/>
              <a:lstStyle/>
              <a:p>
                <a:pPr>
                  <a:defRPr/>
                </a:pPr>
                <a:r>
                  <a:rPr lang="en-US"/>
                  <a:t>Incident Cases</a:t>
                </a:r>
              </a:p>
            </c:rich>
          </c:tx>
          <c:layout/>
          <c:overlay val="0"/>
        </c:title>
        <c:numFmt formatCode="0" sourceLinked="1"/>
        <c:majorTickMark val="out"/>
        <c:minorTickMark val="none"/>
        <c:tickLblPos val="nextTo"/>
        <c:crossAx val="207208608"/>
        <c:crosses val="autoZero"/>
        <c:crossBetween val="between"/>
      </c:valAx>
      <c:valAx>
        <c:axId val="207209392"/>
        <c:scaling>
          <c:orientation val="minMax"/>
          <c:min val="0"/>
        </c:scaling>
        <c:delete val="0"/>
        <c:axPos val="r"/>
        <c:title>
          <c:tx>
            <c:rich>
              <a:bodyPr rot="-5400000" vert="horz"/>
              <a:lstStyle/>
              <a:p>
                <a:pPr>
                  <a:defRPr/>
                </a:pPr>
                <a:r>
                  <a:rPr lang="en-US"/>
                  <a:t>Daily Treatment Load</a:t>
                </a:r>
              </a:p>
            </c:rich>
          </c:tx>
          <c:layout/>
          <c:overlay val="0"/>
        </c:title>
        <c:numFmt formatCode="General" sourceLinked="1"/>
        <c:majorTickMark val="out"/>
        <c:minorTickMark val="none"/>
        <c:tickLblPos val="nextTo"/>
        <c:crossAx val="207209784"/>
        <c:crosses val="max"/>
        <c:crossBetween val="between"/>
      </c:valAx>
      <c:catAx>
        <c:axId val="207209784"/>
        <c:scaling>
          <c:orientation val="minMax"/>
        </c:scaling>
        <c:delete val="1"/>
        <c:axPos val="b"/>
        <c:majorTickMark val="out"/>
        <c:minorTickMark val="none"/>
        <c:tickLblPos val="nextTo"/>
        <c:crossAx val="207209392"/>
        <c:crosses val="autoZero"/>
        <c:auto val="1"/>
        <c:lblAlgn val="ctr"/>
        <c:lblOffset val="100"/>
        <c:noMultiLvlLbl val="0"/>
      </c:catAx>
    </c:plotArea>
    <c:legend>
      <c:legendPos val="b"/>
      <c:layout>
        <c:manualLayout>
          <c:xMode val="edge"/>
          <c:yMode val="edge"/>
          <c:x val="3.0821363738571986E-2"/>
          <c:y val="0.85795701339635178"/>
          <c:w val="0.93835727252285606"/>
          <c:h val="0.1269915718002855"/>
        </c:manualLayout>
      </c:layout>
      <c:overlay val="0"/>
      <c:spPr>
        <a:solidFill>
          <a:schemeClr val="bg1"/>
        </a:solidFill>
      </c:spPr>
      <c:txPr>
        <a:bodyPr/>
        <a:lstStyle/>
        <a:p>
          <a:pPr rtl="0">
            <a:defRPr/>
          </a:pPr>
          <a:endParaRPr lang="en-US"/>
        </a:p>
      </c:txPr>
    </c:legend>
    <c:plotVisOnly val="1"/>
    <c:dispBlanksAs val="zero"/>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100" b="1" i="0" kern="1200" baseline="0">
                <a:solidFill>
                  <a:srgbClr val="000000"/>
                </a:solidFill>
                <a:effectLst/>
              </a:rPr>
              <a:t>Projected Cases Seeking Treatment, Treatment Outcomes, and Treatment Load, by Event Date</a:t>
            </a:r>
            <a:endParaRPr lang="en-US" sz="1100">
              <a:effectLst/>
            </a:endParaRPr>
          </a:p>
        </c:rich>
      </c:tx>
      <c:layout/>
      <c:overlay val="0"/>
    </c:title>
    <c:autoTitleDeleted val="0"/>
    <c:plotArea>
      <c:layout>
        <c:manualLayout>
          <c:layoutTarget val="inner"/>
          <c:xMode val="edge"/>
          <c:yMode val="edge"/>
          <c:x val="0.10256335110262865"/>
          <c:y val="0.18544291158360438"/>
          <c:w val="0.78383792784788608"/>
          <c:h val="0.49503392197796925"/>
        </c:manualLayout>
      </c:layout>
      <c:lineChart>
        <c:grouping val="standard"/>
        <c:varyColors val="0"/>
        <c:ser>
          <c:idx val="0"/>
          <c:order val="0"/>
          <c:tx>
            <c:v>Newly symptomatic cases</c:v>
          </c:tx>
          <c:marker>
            <c:symbol val="none"/>
          </c:marker>
          <c:cat>
            <c:numRef>
              <c:f>Healthcare_Model!$B$27:$B$106</c:f>
              <c:numCache>
                <c:formatCode>m/d/yyyy</c:formatCode>
                <c:ptCount val="8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numCache>
            </c:numRef>
          </c:cat>
          <c:val>
            <c:numRef>
              <c:f>Healthcare_Model!$D$27:$D$106</c:f>
              <c:numCache>
                <c:formatCode>0</c:formatCode>
                <c:ptCount val="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1"/>
          <c:order val="1"/>
          <c:tx>
            <c:v>Cases entering Treatment</c:v>
          </c:tx>
          <c:marker>
            <c:symbol val="none"/>
          </c:marker>
          <c:val>
            <c:numRef>
              <c:f>Healthcare_Model!$AB$27:$AB$106</c:f>
              <c:numCache>
                <c:formatCode>General</c:formatCode>
                <c:ptCount val="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formatCode="0">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formatCode="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ser>
          <c:idx val="4"/>
          <c:order val="2"/>
          <c:tx>
            <c:v>Recovered</c:v>
          </c:tx>
          <c:marker>
            <c:symbol val="none"/>
          </c:marker>
          <c:val>
            <c:numRef>
              <c:f>Healthcare_Model!$AO$27:$AO$105</c:f>
              <c:numCache>
                <c:formatCode>General</c:formatCode>
                <c:ptCount val="79"/>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numCache>
            </c:numRef>
          </c:val>
          <c:smooth val="0"/>
        </c:ser>
        <c:ser>
          <c:idx val="3"/>
          <c:order val="3"/>
          <c:tx>
            <c:v>Deaths during Treatment</c:v>
          </c:tx>
          <c:marker>
            <c:symbol val="none"/>
          </c:marker>
          <c:val>
            <c:numRef>
              <c:f>Healthcare_Model!$AI$27:$AI$106</c:f>
              <c:numCache>
                <c:formatCode>General</c:formatCode>
                <c:ptCount val="80"/>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dLbls>
          <c:showLegendKey val="0"/>
          <c:showVal val="0"/>
          <c:showCatName val="0"/>
          <c:showSerName val="0"/>
          <c:showPercent val="0"/>
          <c:showBubbleSize val="0"/>
        </c:dLbls>
        <c:marker val="1"/>
        <c:smooth val="0"/>
        <c:axId val="206271712"/>
        <c:axId val="206510480"/>
      </c:lineChart>
      <c:lineChart>
        <c:grouping val="standard"/>
        <c:varyColors val="0"/>
        <c:ser>
          <c:idx val="5"/>
          <c:order val="4"/>
          <c:tx>
            <c:v>Treatment Load (right axis)</c:v>
          </c:tx>
          <c:marker>
            <c:symbol val="none"/>
          </c:marker>
          <c:val>
            <c:numRef>
              <c:f>Healthcare_Model!$AU$27:$AU$106</c:f>
              <c:numCache>
                <c:formatCode>General</c:formatCode>
                <c:ptCount val="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dLbls>
          <c:showLegendKey val="0"/>
          <c:showVal val="0"/>
          <c:showCatName val="0"/>
          <c:showSerName val="0"/>
          <c:showPercent val="0"/>
          <c:showBubbleSize val="0"/>
        </c:dLbls>
        <c:marker val="1"/>
        <c:smooth val="0"/>
        <c:axId val="206515344"/>
        <c:axId val="206510864"/>
      </c:lineChart>
      <c:dateAx>
        <c:axId val="206271712"/>
        <c:scaling>
          <c:orientation val="minMax"/>
        </c:scaling>
        <c:delete val="0"/>
        <c:axPos val="b"/>
        <c:title>
          <c:tx>
            <c:rich>
              <a:bodyPr/>
              <a:lstStyle/>
              <a:p>
                <a:pPr>
                  <a:defRPr sz="900"/>
                </a:pPr>
                <a:r>
                  <a:rPr lang="en-US" sz="900"/>
                  <a:t>Event Date</a:t>
                </a:r>
              </a:p>
            </c:rich>
          </c:tx>
          <c:layout/>
          <c:overlay val="0"/>
        </c:title>
        <c:numFmt formatCode="m/d;@" sourceLinked="0"/>
        <c:majorTickMark val="out"/>
        <c:minorTickMark val="none"/>
        <c:tickLblPos val="nextTo"/>
        <c:txPr>
          <a:bodyPr rot="-2700000"/>
          <a:lstStyle/>
          <a:p>
            <a:pPr>
              <a:defRPr sz="800"/>
            </a:pPr>
            <a:endParaRPr lang="en-US"/>
          </a:p>
        </c:txPr>
        <c:crossAx val="206510480"/>
        <c:crosses val="autoZero"/>
        <c:auto val="1"/>
        <c:lblOffset val="100"/>
        <c:baseTimeUnit val="days"/>
      </c:dateAx>
      <c:valAx>
        <c:axId val="206510480"/>
        <c:scaling>
          <c:orientation val="minMax"/>
        </c:scaling>
        <c:delete val="0"/>
        <c:axPos val="l"/>
        <c:majorGridlines/>
        <c:title>
          <c:tx>
            <c:rich>
              <a:bodyPr rot="-5400000" vert="horz"/>
              <a:lstStyle/>
              <a:p>
                <a:pPr>
                  <a:defRPr/>
                </a:pPr>
                <a:r>
                  <a:rPr lang="en-US"/>
                  <a:t>Incident Cases</a:t>
                </a:r>
              </a:p>
            </c:rich>
          </c:tx>
          <c:layout/>
          <c:overlay val="0"/>
        </c:title>
        <c:numFmt formatCode="0" sourceLinked="1"/>
        <c:majorTickMark val="out"/>
        <c:minorTickMark val="none"/>
        <c:tickLblPos val="nextTo"/>
        <c:txPr>
          <a:bodyPr/>
          <a:lstStyle/>
          <a:p>
            <a:pPr>
              <a:defRPr sz="800"/>
            </a:pPr>
            <a:endParaRPr lang="en-US"/>
          </a:p>
        </c:txPr>
        <c:crossAx val="206271712"/>
        <c:crosses val="autoZero"/>
        <c:crossBetween val="between"/>
      </c:valAx>
      <c:valAx>
        <c:axId val="206510864"/>
        <c:scaling>
          <c:orientation val="minMax"/>
          <c:min val="0"/>
        </c:scaling>
        <c:delete val="0"/>
        <c:axPos val="r"/>
        <c:title>
          <c:tx>
            <c:rich>
              <a:bodyPr rot="-5400000" vert="horz"/>
              <a:lstStyle/>
              <a:p>
                <a:pPr>
                  <a:defRPr/>
                </a:pPr>
                <a:r>
                  <a:rPr lang="en-US"/>
                  <a:t>Treatment Load</a:t>
                </a:r>
              </a:p>
            </c:rich>
          </c:tx>
          <c:layout/>
          <c:overlay val="0"/>
        </c:title>
        <c:numFmt formatCode="General" sourceLinked="1"/>
        <c:majorTickMark val="out"/>
        <c:minorTickMark val="none"/>
        <c:tickLblPos val="nextTo"/>
        <c:txPr>
          <a:bodyPr/>
          <a:lstStyle/>
          <a:p>
            <a:pPr>
              <a:defRPr sz="800"/>
            </a:pPr>
            <a:endParaRPr lang="en-US"/>
          </a:p>
        </c:txPr>
        <c:crossAx val="206515344"/>
        <c:crosses val="max"/>
        <c:crossBetween val="between"/>
      </c:valAx>
      <c:catAx>
        <c:axId val="206515344"/>
        <c:scaling>
          <c:orientation val="minMax"/>
        </c:scaling>
        <c:delete val="1"/>
        <c:axPos val="b"/>
        <c:majorTickMark val="out"/>
        <c:minorTickMark val="none"/>
        <c:tickLblPos val="nextTo"/>
        <c:crossAx val="206510864"/>
        <c:crosses val="autoZero"/>
        <c:auto val="1"/>
        <c:lblAlgn val="ctr"/>
        <c:lblOffset val="100"/>
        <c:noMultiLvlLbl val="0"/>
      </c:catAx>
    </c:plotArea>
    <c:legend>
      <c:legendPos val="b"/>
      <c:layout>
        <c:manualLayout>
          <c:xMode val="edge"/>
          <c:yMode val="edge"/>
          <c:x val="3.0821363738571986E-2"/>
          <c:y val="0.85795701339635178"/>
          <c:w val="0.93835727252285606"/>
          <c:h val="0.1269915718002855"/>
        </c:manualLayout>
      </c:layout>
      <c:overlay val="0"/>
      <c:spPr>
        <a:solidFill>
          <a:schemeClr val="bg1"/>
        </a:solidFill>
      </c:spPr>
      <c:txPr>
        <a:bodyPr/>
        <a:lstStyle/>
        <a:p>
          <a:pPr rtl="0">
            <a:defRPr sz="800"/>
          </a:pPr>
          <a:endParaRPr lang="en-US"/>
        </a:p>
      </c:txPr>
    </c:legend>
    <c:plotVisOnly val="1"/>
    <c:dispBlanksAs val="zero"/>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Projected Incident</a:t>
            </a:r>
            <a:r>
              <a:rPr lang="en-US" sz="1400" baseline="0"/>
              <a:t>  and Cumulative Case Counts by Disease Stage and Treatment Outcome, with a PEP campaign</a:t>
            </a:r>
            <a:endParaRPr lang="en-US" sz="1400"/>
          </a:p>
        </c:rich>
      </c:tx>
      <c:layout/>
      <c:overlay val="0"/>
    </c:title>
    <c:autoTitleDeleted val="0"/>
    <c:plotArea>
      <c:layout>
        <c:manualLayout>
          <c:layoutTarget val="inner"/>
          <c:xMode val="edge"/>
          <c:yMode val="edge"/>
          <c:x val="0.10223466369000792"/>
          <c:y val="0.1771219366583959"/>
          <c:w val="0.78453066800739313"/>
          <c:h val="0.51227519370241503"/>
        </c:manualLayout>
      </c:layout>
      <c:lineChart>
        <c:grouping val="standard"/>
        <c:varyColors val="0"/>
        <c:ser>
          <c:idx val="0"/>
          <c:order val="0"/>
          <c:tx>
            <c:v>incident treated prodromals</c:v>
          </c:tx>
          <c:marker>
            <c:symbol val="none"/>
          </c:marker>
          <c:cat>
            <c:numRef>
              <c:f>Healthcare_Model!$B$27:$B$106</c:f>
              <c:numCache>
                <c:formatCode>m/d/yyyy</c:formatCode>
                <c:ptCount val="8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numCache>
            </c:numRef>
          </c:cat>
          <c:val>
            <c:numRef>
              <c:f>Healthcare_Model!$I$27:$I$106</c:f>
              <c:numCache>
                <c:formatCode>General</c:formatCode>
                <c:ptCount val="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ser>
          <c:idx val="1"/>
          <c:order val="1"/>
          <c:tx>
            <c:v>incident treated fulminants</c:v>
          </c:tx>
          <c:marker>
            <c:symbol val="none"/>
          </c:marker>
          <c:cat>
            <c:numRef>
              <c:f>Healthcare_Model!$B$27:$B$106</c:f>
              <c:numCache>
                <c:formatCode>m/d/yyyy</c:formatCode>
                <c:ptCount val="8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numCache>
            </c:numRef>
          </c:cat>
          <c:val>
            <c:numRef>
              <c:f>Healthcare_Model!$AQ$27:$AQ$106</c:f>
              <c:numCache>
                <c:formatCode>General</c:formatCode>
                <c:ptCount val="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dLbls>
          <c:showLegendKey val="0"/>
          <c:showVal val="0"/>
          <c:showCatName val="0"/>
          <c:showSerName val="0"/>
          <c:showPercent val="0"/>
          <c:showBubbleSize val="0"/>
        </c:dLbls>
        <c:marker val="1"/>
        <c:smooth val="0"/>
        <c:axId val="207210568"/>
        <c:axId val="207210960"/>
      </c:lineChart>
      <c:lineChart>
        <c:grouping val="standard"/>
        <c:varyColors val="0"/>
        <c:ser>
          <c:idx val="4"/>
          <c:order val="2"/>
          <c:tx>
            <c:v>cumulative saved by treatment</c:v>
          </c:tx>
          <c:marker>
            <c:symbol val="none"/>
          </c:marker>
          <c:val>
            <c:numRef>
              <c:f>Healthcare_Model!$AP$27:$AP$106</c:f>
              <c:numCache>
                <c:formatCode>General</c:formatCode>
                <c:ptCount val="80"/>
                <c:pt idx="0">
                  <c:v>0</c:v>
                </c:pt>
                <c:pt idx="1">
                  <c:v>0</c:v>
                </c:pt>
                <c:pt idx="2">
                  <c:v>0</c:v>
                </c:pt>
                <c:pt idx="3">
                  <c:v>0</c:v>
                </c:pt>
                <c:pt idx="4">
                  <c:v>0</c:v>
                </c:pt>
                <c:pt idx="5">
                  <c:v>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ser>
          <c:idx val="5"/>
          <c:order val="3"/>
          <c:tx>
            <c:v>cumulative treatment deaths</c:v>
          </c:tx>
          <c:marker>
            <c:symbol val="none"/>
          </c:marker>
          <c:val>
            <c:numRef>
              <c:f>Healthcare_Model!$AJ$27:$AJ$106</c:f>
              <c:numCache>
                <c:formatCode>General</c:formatCode>
                <c:ptCount val="80"/>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ser>
          <c:idx val="2"/>
          <c:order val="4"/>
          <c:tx>
            <c:v>cumulative treated cases</c:v>
          </c:tx>
          <c:marker>
            <c:symbol val="none"/>
          </c:marker>
          <c:val>
            <c:numRef>
              <c:f>Healthcare_Model!$AC$27:$AC$106</c:f>
              <c:numCache>
                <c:formatCode>0</c:formatCode>
                <c:ptCount val="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dLbls>
          <c:showLegendKey val="0"/>
          <c:showVal val="0"/>
          <c:showCatName val="0"/>
          <c:showSerName val="0"/>
          <c:showPercent val="0"/>
          <c:showBubbleSize val="0"/>
        </c:dLbls>
        <c:marker val="1"/>
        <c:smooth val="0"/>
        <c:axId val="207211744"/>
        <c:axId val="207211352"/>
      </c:lineChart>
      <c:dateAx>
        <c:axId val="207210568"/>
        <c:scaling>
          <c:orientation val="minMax"/>
        </c:scaling>
        <c:delete val="0"/>
        <c:axPos val="b"/>
        <c:title>
          <c:tx>
            <c:rich>
              <a:bodyPr/>
              <a:lstStyle/>
              <a:p>
                <a:pPr>
                  <a:defRPr/>
                </a:pPr>
                <a:r>
                  <a:rPr lang="en-US"/>
                  <a:t>Event Date</a:t>
                </a:r>
              </a:p>
            </c:rich>
          </c:tx>
          <c:layout/>
          <c:overlay val="0"/>
        </c:title>
        <c:numFmt formatCode="m/d;@" sourceLinked="0"/>
        <c:majorTickMark val="out"/>
        <c:minorTickMark val="none"/>
        <c:tickLblPos val="nextTo"/>
        <c:txPr>
          <a:bodyPr rot="-2700000"/>
          <a:lstStyle/>
          <a:p>
            <a:pPr>
              <a:defRPr/>
            </a:pPr>
            <a:endParaRPr lang="en-US"/>
          </a:p>
        </c:txPr>
        <c:crossAx val="207210960"/>
        <c:crosses val="autoZero"/>
        <c:auto val="1"/>
        <c:lblOffset val="100"/>
        <c:baseTimeUnit val="days"/>
      </c:dateAx>
      <c:valAx>
        <c:axId val="207210960"/>
        <c:scaling>
          <c:orientation val="minMax"/>
        </c:scaling>
        <c:delete val="0"/>
        <c:axPos val="l"/>
        <c:majorGridlines/>
        <c:title>
          <c:tx>
            <c:rich>
              <a:bodyPr rot="-5400000" vert="horz"/>
              <a:lstStyle/>
              <a:p>
                <a:pPr>
                  <a:defRPr/>
                </a:pPr>
                <a:r>
                  <a:rPr lang="en-US"/>
                  <a:t>Incident Cases</a:t>
                </a:r>
              </a:p>
            </c:rich>
          </c:tx>
          <c:layout/>
          <c:overlay val="0"/>
        </c:title>
        <c:numFmt formatCode="General" sourceLinked="1"/>
        <c:majorTickMark val="out"/>
        <c:minorTickMark val="none"/>
        <c:tickLblPos val="nextTo"/>
        <c:crossAx val="207210568"/>
        <c:crosses val="autoZero"/>
        <c:crossBetween val="between"/>
      </c:valAx>
      <c:valAx>
        <c:axId val="207211352"/>
        <c:scaling>
          <c:orientation val="minMax"/>
        </c:scaling>
        <c:delete val="0"/>
        <c:axPos val="r"/>
        <c:title>
          <c:tx>
            <c:rich>
              <a:bodyPr rot="-5400000" vert="horz"/>
              <a:lstStyle/>
              <a:p>
                <a:pPr>
                  <a:defRPr/>
                </a:pPr>
                <a:r>
                  <a:rPr lang="en-US"/>
                  <a:t>Cumulative Cases</a:t>
                </a:r>
              </a:p>
            </c:rich>
          </c:tx>
          <c:layout/>
          <c:overlay val="0"/>
        </c:title>
        <c:numFmt formatCode="General" sourceLinked="1"/>
        <c:majorTickMark val="out"/>
        <c:minorTickMark val="none"/>
        <c:tickLblPos val="nextTo"/>
        <c:crossAx val="207211744"/>
        <c:crosses val="max"/>
        <c:crossBetween val="between"/>
      </c:valAx>
      <c:catAx>
        <c:axId val="207211744"/>
        <c:scaling>
          <c:orientation val="minMax"/>
        </c:scaling>
        <c:delete val="1"/>
        <c:axPos val="b"/>
        <c:majorTickMark val="out"/>
        <c:minorTickMark val="none"/>
        <c:tickLblPos val="nextTo"/>
        <c:crossAx val="207211352"/>
        <c:crosses val="autoZero"/>
        <c:auto val="1"/>
        <c:lblAlgn val="ctr"/>
        <c:lblOffset val="100"/>
        <c:noMultiLvlLbl val="0"/>
      </c:catAx>
    </c:plotArea>
    <c:legend>
      <c:legendPos val="b"/>
      <c:layout>
        <c:manualLayout>
          <c:xMode val="edge"/>
          <c:yMode val="edge"/>
          <c:x val="0.10626572658644516"/>
          <c:y val="0.84735382502539636"/>
          <c:w val="0.81350388986635958"/>
          <c:h val="0.13016996966597175"/>
        </c:manualLayout>
      </c:layout>
      <c:overlay val="0"/>
      <c:txPr>
        <a:bodyPr/>
        <a:lstStyle/>
        <a:p>
          <a:pPr rtl="0">
            <a:defRPr/>
          </a:pPr>
          <a:endParaRPr lang="en-US"/>
        </a:p>
      </c:txPr>
    </c:legend>
    <c:plotVisOnly val="1"/>
    <c:dispBlanksAs val="zero"/>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Projected </a:t>
            </a:r>
            <a:r>
              <a:rPr lang="en-US" sz="1400" baseline="0"/>
              <a:t>Hospitalization Surge and Daily Treatment Census With and Without a PEP campaign</a:t>
            </a:r>
            <a:endParaRPr lang="en-US" sz="1400"/>
          </a:p>
        </c:rich>
      </c:tx>
      <c:layout/>
      <c:overlay val="0"/>
    </c:title>
    <c:autoTitleDeleted val="0"/>
    <c:plotArea>
      <c:layout/>
      <c:lineChart>
        <c:grouping val="standard"/>
        <c:varyColors val="0"/>
        <c:ser>
          <c:idx val="1"/>
          <c:order val="0"/>
          <c:tx>
            <c:v>Cases Entering Treatment with Campaign</c:v>
          </c:tx>
          <c:marker>
            <c:symbol val="none"/>
          </c:marker>
          <c:cat>
            <c:numRef>
              <c:f>Healthcare_Model!$B$27:$B$106</c:f>
              <c:numCache>
                <c:formatCode>m/d/yyyy</c:formatCode>
                <c:ptCount val="8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numCache>
            </c:numRef>
          </c:cat>
          <c:val>
            <c:numRef>
              <c:f>Healthcare_Model!$AB$27:$AB$106</c:f>
              <c:numCache>
                <c:formatCode>General</c:formatCode>
                <c:ptCount val="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formatCode="0">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formatCode="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ser>
          <c:idx val="0"/>
          <c:order val="2"/>
          <c:tx>
            <c:v>Cases Entering Treatment, No Campaign</c:v>
          </c:tx>
          <c:marker>
            <c:symbol val="none"/>
          </c:marker>
          <c:cat>
            <c:numRef>
              <c:f>Healthcare_Model!$B$27:$B$106</c:f>
              <c:numCache>
                <c:formatCode>m/d/yyyy</c:formatCode>
                <c:ptCount val="8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numCache>
            </c:numRef>
          </c:cat>
          <c:val>
            <c:numRef>
              <c:f>Healthcare_Model!$AB$117:$AB$196</c:f>
              <c:numCache>
                <c:formatCode>General</c:formatCode>
                <c:ptCount val="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dLbls>
          <c:showLegendKey val="0"/>
          <c:showVal val="0"/>
          <c:showCatName val="0"/>
          <c:showSerName val="0"/>
          <c:showPercent val="0"/>
          <c:showBubbleSize val="0"/>
        </c:dLbls>
        <c:marker val="1"/>
        <c:smooth val="0"/>
        <c:axId val="229888488"/>
        <c:axId val="229888880"/>
      </c:lineChart>
      <c:lineChart>
        <c:grouping val="standard"/>
        <c:varyColors val="0"/>
        <c:ser>
          <c:idx val="5"/>
          <c:order val="1"/>
          <c:tx>
            <c:strRef>
              <c:f>Healthcare_Model!$AU$24</c:f>
              <c:strCache>
                <c:ptCount val="1"/>
                <c:pt idx="0">
                  <c:v>IA Treatment Caseload (w/ PEP Campaign)</c:v>
                </c:pt>
              </c:strCache>
            </c:strRef>
          </c:tx>
          <c:marker>
            <c:symbol val="none"/>
          </c:marker>
          <c:val>
            <c:numRef>
              <c:f>Healthcare_Model!$AU$27:$AU$106</c:f>
              <c:numCache>
                <c:formatCode>General</c:formatCode>
                <c:ptCount val="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ser>
          <c:idx val="2"/>
          <c:order val="3"/>
          <c:tx>
            <c:strRef>
              <c:f>Healthcare_Model!$AU$114</c:f>
              <c:strCache>
                <c:ptCount val="1"/>
                <c:pt idx="0">
                  <c:v>IA Treatment Caseload (No PEP Campaign)</c:v>
                </c:pt>
              </c:strCache>
            </c:strRef>
          </c:tx>
          <c:marker>
            <c:symbol val="none"/>
          </c:marker>
          <c:val>
            <c:numRef>
              <c:f>Healthcare_Model!$AU$117:$AU$196</c:f>
              <c:numCache>
                <c:formatCode>General</c:formatCode>
                <c:ptCount val="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dLbls>
          <c:showLegendKey val="0"/>
          <c:showVal val="0"/>
          <c:showCatName val="0"/>
          <c:showSerName val="0"/>
          <c:showPercent val="0"/>
          <c:showBubbleSize val="0"/>
        </c:dLbls>
        <c:marker val="1"/>
        <c:smooth val="0"/>
        <c:axId val="229889664"/>
        <c:axId val="229889272"/>
      </c:lineChart>
      <c:dateAx>
        <c:axId val="229888488"/>
        <c:scaling>
          <c:orientation val="minMax"/>
        </c:scaling>
        <c:delete val="0"/>
        <c:axPos val="b"/>
        <c:title>
          <c:tx>
            <c:rich>
              <a:bodyPr/>
              <a:lstStyle/>
              <a:p>
                <a:pPr>
                  <a:defRPr/>
                </a:pPr>
                <a:r>
                  <a:rPr lang="en-US"/>
                  <a:t>Event Date</a:t>
                </a:r>
              </a:p>
            </c:rich>
          </c:tx>
          <c:layout/>
          <c:overlay val="0"/>
        </c:title>
        <c:numFmt formatCode="m/d;@" sourceLinked="0"/>
        <c:majorTickMark val="out"/>
        <c:minorTickMark val="none"/>
        <c:tickLblPos val="nextTo"/>
        <c:txPr>
          <a:bodyPr rot="-2700000"/>
          <a:lstStyle/>
          <a:p>
            <a:pPr>
              <a:defRPr/>
            </a:pPr>
            <a:endParaRPr lang="en-US"/>
          </a:p>
        </c:txPr>
        <c:crossAx val="229888880"/>
        <c:crosses val="autoZero"/>
        <c:auto val="1"/>
        <c:lblOffset val="100"/>
        <c:baseTimeUnit val="days"/>
      </c:dateAx>
      <c:valAx>
        <c:axId val="229888880"/>
        <c:scaling>
          <c:orientation val="minMax"/>
        </c:scaling>
        <c:delete val="0"/>
        <c:axPos val="l"/>
        <c:majorGridlines/>
        <c:title>
          <c:tx>
            <c:rich>
              <a:bodyPr rot="-5400000" vert="horz"/>
              <a:lstStyle/>
              <a:p>
                <a:pPr>
                  <a:defRPr/>
                </a:pPr>
                <a:r>
                  <a:rPr lang="en-US"/>
                  <a:t>Incident Cases</a:t>
                </a:r>
              </a:p>
            </c:rich>
          </c:tx>
          <c:layout/>
          <c:overlay val="0"/>
        </c:title>
        <c:numFmt formatCode="General" sourceLinked="1"/>
        <c:majorTickMark val="out"/>
        <c:minorTickMark val="none"/>
        <c:tickLblPos val="nextTo"/>
        <c:crossAx val="229888488"/>
        <c:crosses val="autoZero"/>
        <c:crossBetween val="between"/>
      </c:valAx>
      <c:valAx>
        <c:axId val="229889272"/>
        <c:scaling>
          <c:orientation val="minMax"/>
          <c:min val="0"/>
        </c:scaling>
        <c:delete val="0"/>
        <c:axPos val="r"/>
        <c:title>
          <c:tx>
            <c:rich>
              <a:bodyPr rot="-5400000" vert="horz"/>
              <a:lstStyle/>
              <a:p>
                <a:pPr>
                  <a:defRPr/>
                </a:pPr>
                <a:r>
                  <a:rPr lang="en-US"/>
                  <a:t>Daily Treatment Load</a:t>
                </a:r>
              </a:p>
            </c:rich>
          </c:tx>
          <c:layout/>
          <c:overlay val="0"/>
        </c:title>
        <c:numFmt formatCode="General" sourceLinked="1"/>
        <c:majorTickMark val="out"/>
        <c:minorTickMark val="none"/>
        <c:tickLblPos val="nextTo"/>
        <c:crossAx val="229889664"/>
        <c:crosses val="max"/>
        <c:crossBetween val="between"/>
      </c:valAx>
      <c:catAx>
        <c:axId val="229889664"/>
        <c:scaling>
          <c:orientation val="minMax"/>
        </c:scaling>
        <c:delete val="1"/>
        <c:axPos val="b"/>
        <c:majorTickMark val="out"/>
        <c:minorTickMark val="none"/>
        <c:tickLblPos val="nextTo"/>
        <c:crossAx val="229889272"/>
        <c:crosses val="autoZero"/>
        <c:auto val="1"/>
        <c:lblAlgn val="ctr"/>
        <c:lblOffset val="100"/>
        <c:noMultiLvlLbl val="0"/>
      </c:catAx>
    </c:plotArea>
    <c:legend>
      <c:legendPos val="b"/>
      <c:layout/>
      <c:overlay val="0"/>
      <c:spPr>
        <a:solidFill>
          <a:schemeClr val="bg1"/>
        </a:solidFill>
      </c:spPr>
      <c:txPr>
        <a:bodyPr/>
        <a:lstStyle/>
        <a:p>
          <a:pPr rtl="0">
            <a:defRPr/>
          </a:pPr>
          <a:endParaRPr lang="en-US"/>
        </a:p>
      </c:txPr>
    </c:legend>
    <c:plotVisOnly val="1"/>
    <c:dispBlanksAs val="zero"/>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Treatment Census by Illness Stage &amp; </a:t>
            </a:r>
            <a:r>
              <a:rPr lang="en-US" sz="1400" baseline="0"/>
              <a:t>Event Date, with a PEP campaign</a:t>
            </a:r>
            <a:endParaRPr lang="en-US" sz="1400"/>
          </a:p>
        </c:rich>
      </c:tx>
      <c:layout/>
      <c:overlay val="0"/>
    </c:title>
    <c:autoTitleDeleted val="0"/>
    <c:plotArea>
      <c:layout>
        <c:manualLayout>
          <c:layoutTarget val="inner"/>
          <c:xMode val="edge"/>
          <c:yMode val="edge"/>
          <c:x val="0.10256335110262865"/>
          <c:y val="0.18544291158360438"/>
          <c:w val="0.78383792784788608"/>
          <c:h val="0.49503392197796925"/>
        </c:manualLayout>
      </c:layout>
      <c:lineChart>
        <c:grouping val="standard"/>
        <c:varyColors val="0"/>
        <c:ser>
          <c:idx val="5"/>
          <c:order val="0"/>
          <c:tx>
            <c:v>Total Treatment Load</c:v>
          </c:tx>
          <c:marker>
            <c:symbol val="none"/>
          </c:marker>
          <c:cat>
            <c:numRef>
              <c:f>Healthcare_Model!$B$27:$B$106</c:f>
              <c:numCache>
                <c:formatCode>m/d/yyyy</c:formatCode>
                <c:ptCount val="8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numCache>
            </c:numRef>
          </c:cat>
          <c:val>
            <c:numRef>
              <c:f>Healthcare_Model!$AU$27:$AU$106</c:f>
              <c:numCache>
                <c:formatCode>General</c:formatCode>
                <c:ptCount val="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ser>
          <c:idx val="0"/>
          <c:order val="1"/>
          <c:tx>
            <c:v>Prodromal Treatment Load</c:v>
          </c:tx>
          <c:marker>
            <c:symbol val="none"/>
          </c:marker>
          <c:cat>
            <c:numRef>
              <c:f>Healthcare_Model!$B$27:$B$106</c:f>
              <c:numCache>
                <c:formatCode>m/d/yyyy</c:formatCode>
                <c:ptCount val="8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numCache>
            </c:numRef>
          </c:cat>
          <c:val>
            <c:numRef>
              <c:f>Healthcare_Model!$AS$27:$AS$106</c:f>
              <c:numCache>
                <c:formatCode>General</c:formatCode>
                <c:ptCount val="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ser>
          <c:idx val="1"/>
          <c:order val="2"/>
          <c:tx>
            <c:v>Fulminant Treatment Load</c:v>
          </c:tx>
          <c:marker>
            <c:symbol val="none"/>
          </c:marker>
          <c:cat>
            <c:numRef>
              <c:f>Healthcare_Model!$B$27:$B$106</c:f>
              <c:numCache>
                <c:formatCode>m/d/yyyy</c:formatCode>
                <c:ptCount val="8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numCache>
            </c:numRef>
          </c:cat>
          <c:val>
            <c:numRef>
              <c:f>Healthcare_Model!$AT$27:$AT$106</c:f>
              <c:numCache>
                <c:formatCode>General</c:formatCode>
                <c:ptCount val="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dLbls>
          <c:showLegendKey val="0"/>
          <c:showVal val="0"/>
          <c:showCatName val="0"/>
          <c:showSerName val="0"/>
          <c:showPercent val="0"/>
          <c:showBubbleSize val="0"/>
        </c:dLbls>
        <c:smooth val="0"/>
        <c:axId val="229890448"/>
        <c:axId val="229890840"/>
      </c:lineChart>
      <c:dateAx>
        <c:axId val="229890448"/>
        <c:scaling>
          <c:orientation val="minMax"/>
        </c:scaling>
        <c:delete val="0"/>
        <c:axPos val="b"/>
        <c:title>
          <c:tx>
            <c:rich>
              <a:bodyPr/>
              <a:lstStyle/>
              <a:p>
                <a:pPr>
                  <a:defRPr/>
                </a:pPr>
                <a:r>
                  <a:rPr lang="en-US"/>
                  <a:t>Event Date</a:t>
                </a:r>
              </a:p>
            </c:rich>
          </c:tx>
          <c:layout/>
          <c:overlay val="0"/>
        </c:title>
        <c:numFmt formatCode="m/d;@" sourceLinked="0"/>
        <c:majorTickMark val="out"/>
        <c:minorTickMark val="none"/>
        <c:tickLblPos val="nextTo"/>
        <c:txPr>
          <a:bodyPr rot="-2700000"/>
          <a:lstStyle/>
          <a:p>
            <a:pPr>
              <a:defRPr/>
            </a:pPr>
            <a:endParaRPr lang="en-US"/>
          </a:p>
        </c:txPr>
        <c:crossAx val="229890840"/>
        <c:crosses val="autoZero"/>
        <c:auto val="1"/>
        <c:lblOffset val="100"/>
        <c:baseTimeUnit val="days"/>
      </c:dateAx>
      <c:valAx>
        <c:axId val="229890840"/>
        <c:scaling>
          <c:orientation val="minMax"/>
        </c:scaling>
        <c:delete val="0"/>
        <c:axPos val="l"/>
        <c:majorGridlines/>
        <c:title>
          <c:tx>
            <c:rich>
              <a:bodyPr rot="-5400000" vert="horz"/>
              <a:lstStyle/>
              <a:p>
                <a:pPr>
                  <a:defRPr/>
                </a:pPr>
                <a:r>
                  <a:rPr lang="en-US"/>
                  <a:t>Daily Treatment Load</a:t>
                </a:r>
              </a:p>
            </c:rich>
          </c:tx>
          <c:layout/>
          <c:overlay val="0"/>
        </c:title>
        <c:numFmt formatCode="General" sourceLinked="1"/>
        <c:majorTickMark val="out"/>
        <c:minorTickMark val="none"/>
        <c:tickLblPos val="nextTo"/>
        <c:crossAx val="229890448"/>
        <c:crosses val="autoZero"/>
        <c:crossBetween val="between"/>
      </c:valAx>
    </c:plotArea>
    <c:legend>
      <c:legendPos val="b"/>
      <c:layout>
        <c:manualLayout>
          <c:xMode val="edge"/>
          <c:yMode val="edge"/>
          <c:x val="3.0821363738571986E-2"/>
          <c:y val="0.85795701339635178"/>
          <c:w val="0.89999989716842987"/>
          <c:h val="6.5684111173875431E-2"/>
        </c:manualLayout>
      </c:layout>
      <c:overlay val="0"/>
      <c:spPr>
        <a:solidFill>
          <a:schemeClr val="bg1"/>
        </a:solidFill>
      </c:spPr>
      <c:txPr>
        <a:bodyPr/>
        <a:lstStyle/>
        <a:p>
          <a:pPr rtl="0">
            <a:defRPr/>
          </a:pPr>
          <a:endParaRPr lang="en-US"/>
        </a:p>
      </c:txPr>
    </c:legend>
    <c:plotVisOnly val="1"/>
    <c:dispBlanksAs val="zero"/>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56623176085677"/>
          <c:y val="0.19341320394114142"/>
          <c:w val="0.82108037292648572"/>
          <c:h val="0.6308094163962088"/>
        </c:manualLayout>
      </c:layout>
      <c:barChart>
        <c:barDir val="col"/>
        <c:grouping val="clustered"/>
        <c:varyColors val="0"/>
        <c:ser>
          <c:idx val="0"/>
          <c:order val="0"/>
          <c:tx>
            <c:strRef>
              <c:f>'Sverdlovsk Case Series'!$C$2</c:f>
              <c:strCache>
                <c:ptCount val="1"/>
                <c:pt idx="0">
                  <c:v>Sverdlovsk Case Series*</c:v>
                </c:pt>
              </c:strCache>
            </c:strRef>
          </c:tx>
          <c:spPr>
            <a:ln>
              <a:solidFill>
                <a:schemeClr val="accent1">
                  <a:shade val="50000"/>
                </a:schemeClr>
              </a:solidFill>
            </a:ln>
          </c:spPr>
          <c:invertIfNegative val="0"/>
          <c:cat>
            <c:numRef>
              <c:f>'Sverdlovsk Case Series'!$B$4:$B$32</c:f>
              <c:numCache>
                <c:formatCode>General</c:formatCode>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numCache>
            </c:numRef>
          </c:cat>
          <c:val>
            <c:numRef>
              <c:f>'Sverdlovsk Case Series'!$C$4:$C$32</c:f>
              <c:numCache>
                <c:formatCode>General</c:formatCode>
                <c:ptCount val="29"/>
                <c:pt idx="0">
                  <c:v>2</c:v>
                </c:pt>
                <c:pt idx="1">
                  <c:v>1</c:v>
                </c:pt>
                <c:pt idx="2">
                  <c:v>7</c:v>
                </c:pt>
                <c:pt idx="3">
                  <c:v>4</c:v>
                </c:pt>
                <c:pt idx="4">
                  <c:v>5</c:v>
                </c:pt>
                <c:pt idx="5">
                  <c:v>5</c:v>
                </c:pt>
                <c:pt idx="6">
                  <c:v>7</c:v>
                </c:pt>
                <c:pt idx="7">
                  <c:v>3</c:v>
                </c:pt>
                <c:pt idx="8">
                  <c:v>5</c:v>
                </c:pt>
                <c:pt idx="9">
                  <c:v>3</c:v>
                </c:pt>
                <c:pt idx="10">
                  <c:v>4</c:v>
                </c:pt>
                <c:pt idx="11">
                  <c:v>5</c:v>
                </c:pt>
                <c:pt idx="12">
                  <c:v>2</c:v>
                </c:pt>
                <c:pt idx="13">
                  <c:v>1</c:v>
                </c:pt>
                <c:pt idx="14">
                  <c:v>0</c:v>
                </c:pt>
                <c:pt idx="15">
                  <c:v>1</c:v>
                </c:pt>
                <c:pt idx="16">
                  <c:v>1</c:v>
                </c:pt>
                <c:pt idx="17">
                  <c:v>2</c:v>
                </c:pt>
                <c:pt idx="18">
                  <c:v>2</c:v>
                </c:pt>
                <c:pt idx="19">
                  <c:v>0</c:v>
                </c:pt>
                <c:pt idx="20">
                  <c:v>0</c:v>
                </c:pt>
                <c:pt idx="21">
                  <c:v>2</c:v>
                </c:pt>
                <c:pt idx="22">
                  <c:v>0</c:v>
                </c:pt>
                <c:pt idx="23">
                  <c:v>1</c:v>
                </c:pt>
                <c:pt idx="24">
                  <c:v>1</c:v>
                </c:pt>
                <c:pt idx="25">
                  <c:v>1</c:v>
                </c:pt>
                <c:pt idx="26">
                  <c:v>0</c:v>
                </c:pt>
                <c:pt idx="27">
                  <c:v>0</c:v>
                </c:pt>
                <c:pt idx="28">
                  <c:v>1</c:v>
                </c:pt>
              </c:numCache>
            </c:numRef>
          </c:val>
        </c:ser>
        <c:dLbls>
          <c:showLegendKey val="0"/>
          <c:showVal val="0"/>
          <c:showCatName val="0"/>
          <c:showSerName val="0"/>
          <c:showPercent val="0"/>
          <c:showBubbleSize val="0"/>
        </c:dLbls>
        <c:gapWidth val="25"/>
        <c:overlap val="100"/>
        <c:axId val="229891624"/>
        <c:axId val="230166640"/>
      </c:barChart>
      <c:catAx>
        <c:axId val="229891624"/>
        <c:scaling>
          <c:orientation val="minMax"/>
        </c:scaling>
        <c:delete val="0"/>
        <c:axPos val="b"/>
        <c:title>
          <c:tx>
            <c:rich>
              <a:bodyPr/>
              <a:lstStyle/>
              <a:p>
                <a:pPr>
                  <a:defRPr/>
                </a:pPr>
                <a:r>
                  <a:rPr lang="en-US"/>
                  <a:t>Event Day</a:t>
                </a:r>
              </a:p>
            </c:rich>
          </c:tx>
          <c:layout/>
          <c:overlay val="0"/>
        </c:title>
        <c:numFmt formatCode="#,##0" sourceLinked="0"/>
        <c:majorTickMark val="out"/>
        <c:minorTickMark val="none"/>
        <c:tickLblPos val="nextTo"/>
        <c:txPr>
          <a:bodyPr rot="0"/>
          <a:lstStyle/>
          <a:p>
            <a:pPr>
              <a:defRPr sz="800" baseline="0"/>
            </a:pPr>
            <a:endParaRPr lang="en-US"/>
          </a:p>
        </c:txPr>
        <c:crossAx val="230166640"/>
        <c:crosses val="autoZero"/>
        <c:auto val="0"/>
        <c:lblAlgn val="ctr"/>
        <c:lblOffset val="100"/>
        <c:tickLblSkip val="1"/>
        <c:noMultiLvlLbl val="0"/>
      </c:catAx>
      <c:valAx>
        <c:axId val="230166640"/>
        <c:scaling>
          <c:orientation val="minMax"/>
        </c:scaling>
        <c:delete val="0"/>
        <c:axPos val="l"/>
        <c:title>
          <c:tx>
            <c:rich>
              <a:bodyPr rot="-5400000" vert="horz"/>
              <a:lstStyle/>
              <a:p>
                <a:pPr>
                  <a:defRPr/>
                </a:pPr>
                <a:r>
                  <a:rPr lang="en-US"/>
                  <a:t>Daily Cases</a:t>
                </a:r>
              </a:p>
            </c:rich>
          </c:tx>
          <c:layout/>
          <c:overlay val="0"/>
        </c:title>
        <c:numFmt formatCode="General" sourceLinked="1"/>
        <c:majorTickMark val="out"/>
        <c:minorTickMark val="none"/>
        <c:tickLblPos val="nextTo"/>
        <c:crossAx val="229891624"/>
        <c:crosses val="autoZero"/>
        <c:crossBetween val="between"/>
      </c:valAx>
      <c:spPr>
        <a:noFill/>
        <a:ln w="25400">
          <a:noFill/>
        </a:ln>
      </c:spPr>
    </c:plotArea>
    <c:legend>
      <c:legendPos val="r"/>
      <c:layout>
        <c:manualLayout>
          <c:xMode val="edge"/>
          <c:yMode val="edge"/>
          <c:x val="0.58062746413252053"/>
          <c:y val="9.8753093671742925E-2"/>
          <c:w val="0.27447287334287385"/>
          <c:h val="0.24935262732259286"/>
        </c:manualLayout>
      </c:layout>
      <c:overlay val="1"/>
    </c:legend>
    <c:plotVisOnly val="1"/>
    <c:dispBlanksAs val="gap"/>
    <c:showDLblsOverMax val="0"/>
  </c:chart>
  <c:spPr>
    <a:ln>
      <a:solidFill>
        <a:schemeClr val="accent1">
          <a:shade val="50000"/>
        </a:schemeClr>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kern="1000" baseline="0"/>
            </a:pPr>
            <a:r>
              <a:rPr lang="en-US" sz="1100" kern="1000" baseline="0"/>
              <a:t>Actual and Forecasted Unmitigated Cumulative Case Counts</a:t>
            </a:r>
          </a:p>
        </c:rich>
      </c:tx>
      <c:layout/>
      <c:overlay val="0"/>
      <c:spPr>
        <a:noFill/>
      </c:spPr>
    </c:title>
    <c:autoTitleDeleted val="0"/>
    <c:plotArea>
      <c:layout>
        <c:manualLayout>
          <c:layoutTarget val="inner"/>
          <c:xMode val="edge"/>
          <c:yMode val="edge"/>
          <c:x val="0.13956445231047776"/>
          <c:y val="0.27659718984232445"/>
          <c:w val="0.82492535872623995"/>
          <c:h val="0.5445964298968331"/>
        </c:manualLayout>
      </c:layout>
      <c:barChart>
        <c:barDir val="col"/>
        <c:grouping val="clustered"/>
        <c:varyColors val="0"/>
        <c:ser>
          <c:idx val="3"/>
          <c:order val="2"/>
          <c:tx>
            <c:v>Detected</c:v>
          </c:tx>
          <c:spPr>
            <a:solidFill>
              <a:schemeClr val="accent2"/>
            </a:solidFill>
            <a:ln w="0">
              <a:solidFill>
                <a:srgbClr val="C00000"/>
              </a:solidFill>
            </a:ln>
          </c:spPr>
          <c:invertIfNegative val="0"/>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Model'!$J$57:$J$116</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er>
        <c:dLbls>
          <c:showLegendKey val="0"/>
          <c:showVal val="0"/>
          <c:showCatName val="0"/>
          <c:showSerName val="0"/>
          <c:showPercent val="0"/>
          <c:showBubbleSize val="0"/>
        </c:dLbls>
        <c:gapWidth val="50"/>
        <c:overlap val="100"/>
        <c:axId val="31475248"/>
        <c:axId val="31475640"/>
      </c:barChart>
      <c:lineChart>
        <c:grouping val="standard"/>
        <c:varyColors val="0"/>
        <c:ser>
          <c:idx val="2"/>
          <c:order val="0"/>
          <c:spPr>
            <a:ln w="28575">
              <a:solidFill>
                <a:schemeClr val="accent2">
                  <a:shade val="95000"/>
                  <a:satMod val="105000"/>
                </a:schemeClr>
              </a:solidFill>
              <a:prstDash val="sysDot"/>
            </a:ln>
            <a:effectLst/>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Model'!$M$57:$M$116</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0"/>
          <c:order val="1"/>
          <c:tx>
            <c:v>Median Estimate</c:v>
          </c:tx>
          <c:spPr>
            <a:ln>
              <a:solidFill>
                <a:schemeClr val="tx2">
                  <a:lumMod val="40000"/>
                  <a:lumOff val="60000"/>
                </a:schemeClr>
              </a:solidFill>
              <a:prstDash val="dash"/>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Model'!$I$57:$I$116</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1"/>
          <c:order val="3"/>
          <c:tx>
            <c:v>Estimate Range</c:v>
          </c:tx>
          <c:spPr>
            <a:ln>
              <a:prstDash val="sysDot"/>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Model'!$L$57:$L$116</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dLbls>
          <c:showLegendKey val="0"/>
          <c:showVal val="0"/>
          <c:showCatName val="0"/>
          <c:showSerName val="0"/>
          <c:showPercent val="0"/>
          <c:showBubbleSize val="0"/>
        </c:dLbls>
        <c:marker val="1"/>
        <c:smooth val="0"/>
        <c:axId val="31475248"/>
        <c:axId val="31475640"/>
      </c:lineChart>
      <c:dateAx>
        <c:axId val="31475248"/>
        <c:scaling>
          <c:orientation val="minMax"/>
        </c:scaling>
        <c:delete val="0"/>
        <c:axPos val="b"/>
        <c:title>
          <c:tx>
            <c:rich>
              <a:bodyPr/>
              <a:lstStyle/>
              <a:p>
                <a:pPr>
                  <a:defRPr/>
                </a:pPr>
                <a:r>
                  <a:rPr lang="en-US"/>
                  <a:t>Event</a:t>
                </a:r>
                <a:r>
                  <a:rPr lang="en-US" baseline="0"/>
                  <a:t> Day</a:t>
                </a:r>
                <a:endParaRPr lang="en-US"/>
              </a:p>
            </c:rich>
          </c:tx>
          <c:layout/>
          <c:overlay val="0"/>
        </c:title>
        <c:numFmt formatCode="m/d;@" sourceLinked="0"/>
        <c:majorTickMark val="out"/>
        <c:minorTickMark val="none"/>
        <c:tickLblPos val="nextTo"/>
        <c:txPr>
          <a:bodyPr rot="-2700000" vert="horz"/>
          <a:lstStyle/>
          <a:p>
            <a:pPr>
              <a:defRPr sz="800" baseline="0"/>
            </a:pPr>
            <a:endParaRPr lang="en-US"/>
          </a:p>
        </c:txPr>
        <c:crossAx val="31475640"/>
        <c:crosses val="autoZero"/>
        <c:auto val="1"/>
        <c:lblOffset val="100"/>
        <c:baseTimeUnit val="days"/>
        <c:majorUnit val="3"/>
        <c:majorTimeUnit val="days"/>
        <c:minorUnit val="2"/>
      </c:dateAx>
      <c:valAx>
        <c:axId val="31475640"/>
        <c:scaling>
          <c:orientation val="minMax"/>
        </c:scaling>
        <c:delete val="0"/>
        <c:axPos val="l"/>
        <c:majorGridlines/>
        <c:title>
          <c:tx>
            <c:rich>
              <a:bodyPr rot="-5400000" vert="horz"/>
              <a:lstStyle/>
              <a:p>
                <a:pPr>
                  <a:defRPr/>
                </a:pPr>
                <a:r>
                  <a:rPr lang="en-US"/>
                  <a:t>Cumulative Cases</a:t>
                </a:r>
              </a:p>
            </c:rich>
          </c:tx>
          <c:layout/>
          <c:overlay val="0"/>
        </c:title>
        <c:numFmt formatCode="General" sourceLinked="1"/>
        <c:majorTickMark val="out"/>
        <c:minorTickMark val="none"/>
        <c:tickLblPos val="nextTo"/>
        <c:crossAx val="31475248"/>
        <c:crosses val="autoZero"/>
        <c:crossBetween val="between"/>
      </c:valAx>
      <c:spPr>
        <a:noFill/>
        <a:ln>
          <a:noFill/>
        </a:ln>
      </c:spPr>
    </c:plotArea>
    <c:legend>
      <c:legendPos val="t"/>
      <c:legendEntry>
        <c:idx val="1"/>
        <c:delete val="1"/>
      </c:legendEntry>
      <c:layout>
        <c:manualLayout>
          <c:xMode val="edge"/>
          <c:yMode val="edge"/>
          <c:x val="0.14294326014126282"/>
          <c:y val="0.1818996471634772"/>
          <c:w val="0.78670330080691131"/>
          <c:h val="7.5355683037104437E-2"/>
        </c:manualLayout>
      </c:layout>
      <c:overlay val="0"/>
      <c:spPr>
        <a:noFill/>
        <a:ln>
          <a:solidFill>
            <a:schemeClr val="tx2">
              <a:lumMod val="40000"/>
              <a:lumOff val="60000"/>
            </a:schemeClr>
          </a:solidFill>
        </a:ln>
      </c:sp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b="1" i="0" baseline="0">
                <a:effectLst/>
              </a:rPr>
              <a:t>Detected Cases  and Forecasted Unmitigated Time Series</a:t>
            </a:r>
            <a:endParaRPr lang="en-US" sz="1100" baseline="0">
              <a:effectLst/>
            </a:endParaRPr>
          </a:p>
        </c:rich>
      </c:tx>
      <c:layout>
        <c:manualLayout>
          <c:xMode val="edge"/>
          <c:yMode val="edge"/>
          <c:x val="0.15048002185430731"/>
          <c:y val="1.9580279667279165E-2"/>
        </c:manualLayout>
      </c:layout>
      <c:overlay val="0"/>
    </c:title>
    <c:autoTitleDeleted val="0"/>
    <c:plotArea>
      <c:layout>
        <c:manualLayout>
          <c:layoutTarget val="inner"/>
          <c:xMode val="edge"/>
          <c:yMode val="edge"/>
          <c:x val="0.11556623176085677"/>
          <c:y val="0.19341320394114142"/>
          <c:w val="0.82108037292648572"/>
          <c:h val="0.6308094163962088"/>
        </c:manualLayout>
      </c:layout>
      <c:barChart>
        <c:barDir val="col"/>
        <c:grouping val="clustered"/>
        <c:varyColors val="0"/>
        <c:ser>
          <c:idx val="1"/>
          <c:order val="0"/>
          <c:tx>
            <c:v>Detected</c:v>
          </c:tx>
          <c:spPr>
            <a:solidFill>
              <a:schemeClr val="accent2"/>
            </a:solidFill>
          </c:spPr>
          <c:invertIfNegative val="0"/>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Model'!$H$57:$H$116</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er>
        <c:dLbls>
          <c:showLegendKey val="0"/>
          <c:showVal val="0"/>
          <c:showCatName val="0"/>
          <c:showSerName val="0"/>
          <c:showPercent val="0"/>
          <c:showBubbleSize val="0"/>
        </c:dLbls>
        <c:gapWidth val="50"/>
        <c:overlap val="100"/>
        <c:axId val="31477208"/>
        <c:axId val="206870848"/>
      </c:barChart>
      <c:lineChart>
        <c:grouping val="standard"/>
        <c:varyColors val="0"/>
        <c:ser>
          <c:idx val="0"/>
          <c:order val="1"/>
          <c:tx>
            <c:v>Median Event Size Forecast</c:v>
          </c:tx>
          <c:spPr>
            <a:ln>
              <a:solidFill>
                <a:srgbClr val="769DDC"/>
              </a:solidFill>
              <a:prstDash val="dash"/>
            </a:ln>
          </c:spPr>
          <c:marker>
            <c:symbol val="none"/>
          </c:marker>
          <c:cat>
            <c:numRef>
              <c:f>'Epi-Curve Model'!$B$57:$B$116</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'Epi-Curve Model'!$G$57:$G$116</c:f>
              <c:numCache>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2"/>
          <c:order val="2"/>
          <c:tx>
            <c:v>Largest Event Size Forecast</c:v>
          </c:tx>
          <c:spPr>
            <a:ln>
              <a:solidFill>
                <a:srgbClr val="C00000"/>
              </a:solidFill>
              <a:prstDash val="sysDot"/>
            </a:ln>
          </c:spPr>
          <c:marker>
            <c:symbol val="none"/>
          </c:marker>
          <c:val>
            <c:numRef>
              <c:f>'Epi-Curve Model'!$N$57:$N$116</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dLbls>
          <c:showLegendKey val="0"/>
          <c:showVal val="0"/>
          <c:showCatName val="0"/>
          <c:showSerName val="0"/>
          <c:showPercent val="0"/>
          <c:showBubbleSize val="0"/>
        </c:dLbls>
        <c:marker val="1"/>
        <c:smooth val="0"/>
        <c:axId val="31477208"/>
        <c:axId val="206870848"/>
      </c:lineChart>
      <c:dateAx>
        <c:axId val="31477208"/>
        <c:scaling>
          <c:orientation val="minMax"/>
        </c:scaling>
        <c:delete val="0"/>
        <c:axPos val="b"/>
        <c:title>
          <c:tx>
            <c:rich>
              <a:bodyPr/>
              <a:lstStyle/>
              <a:p>
                <a:pPr>
                  <a:defRPr/>
                </a:pPr>
                <a:r>
                  <a:rPr lang="en-US"/>
                  <a:t>Event Day</a:t>
                </a:r>
              </a:p>
            </c:rich>
          </c:tx>
          <c:layout/>
          <c:overlay val="0"/>
        </c:title>
        <c:numFmt formatCode="m/d;@" sourceLinked="0"/>
        <c:majorTickMark val="out"/>
        <c:minorTickMark val="none"/>
        <c:tickLblPos val="nextTo"/>
        <c:txPr>
          <a:bodyPr rot="-2700000"/>
          <a:lstStyle/>
          <a:p>
            <a:pPr>
              <a:defRPr sz="800" baseline="0"/>
            </a:pPr>
            <a:endParaRPr lang="en-US"/>
          </a:p>
        </c:txPr>
        <c:crossAx val="206870848"/>
        <c:crosses val="autoZero"/>
        <c:auto val="1"/>
        <c:lblOffset val="100"/>
        <c:baseTimeUnit val="days"/>
        <c:majorUnit val="3"/>
        <c:majorTimeUnit val="days"/>
        <c:minorUnit val="2"/>
      </c:dateAx>
      <c:valAx>
        <c:axId val="206870848"/>
        <c:scaling>
          <c:orientation val="minMax"/>
        </c:scaling>
        <c:delete val="0"/>
        <c:axPos val="l"/>
        <c:majorGridlines/>
        <c:title>
          <c:tx>
            <c:rich>
              <a:bodyPr rot="-5400000" vert="horz"/>
              <a:lstStyle/>
              <a:p>
                <a:pPr>
                  <a:defRPr/>
                </a:pPr>
                <a:r>
                  <a:rPr lang="en-US"/>
                  <a:t>Daily Cases</a:t>
                </a:r>
              </a:p>
            </c:rich>
          </c:tx>
          <c:layout/>
          <c:overlay val="0"/>
        </c:title>
        <c:numFmt formatCode="General" sourceLinked="1"/>
        <c:majorTickMark val="out"/>
        <c:minorTickMark val="none"/>
        <c:tickLblPos val="nextTo"/>
        <c:crossAx val="31477208"/>
        <c:crosses val="autoZero"/>
        <c:crossBetween val="between"/>
      </c:valAx>
    </c:plotArea>
    <c:legend>
      <c:legendPos val="r"/>
      <c:layout>
        <c:manualLayout>
          <c:xMode val="edge"/>
          <c:yMode val="edge"/>
          <c:x val="0.61532974610001068"/>
          <c:y val="0.22313791445483058"/>
          <c:w val="0.32087512688321401"/>
          <c:h val="0.37661255323113108"/>
        </c:manualLayout>
      </c:layout>
      <c:overlay val="0"/>
      <c:spPr>
        <a:solidFill>
          <a:schemeClr val="bg1"/>
        </a:solidFill>
        <a:ln>
          <a:solidFill>
            <a:schemeClr val="accent1">
              <a:shade val="95000"/>
              <a:satMod val="105000"/>
            </a:schemeClr>
          </a:solidFill>
        </a:ln>
      </c:sp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aseline="0"/>
              <a:t>P.E.P. Campaign Impact on Projected</a:t>
            </a:r>
            <a:r>
              <a:rPr lang="en-US" sz="1400" baseline="30000"/>
              <a:t>^</a:t>
            </a:r>
            <a:r>
              <a:rPr lang="en-US" sz="1400" baseline="0"/>
              <a:t> Total Cases and Deaths</a:t>
            </a:r>
          </a:p>
        </c:rich>
      </c:tx>
      <c:layout/>
      <c:overlay val="0"/>
    </c:title>
    <c:autoTitleDeleted val="0"/>
    <c:plotArea>
      <c:layout>
        <c:manualLayout>
          <c:layoutTarget val="inner"/>
          <c:xMode val="edge"/>
          <c:yMode val="edge"/>
          <c:x val="0.12281490607456413"/>
          <c:y val="0.15788203557888597"/>
          <c:w val="0.81052124005926185"/>
          <c:h val="0.59881365749497195"/>
        </c:manualLayout>
      </c:layout>
      <c:barChart>
        <c:barDir val="col"/>
        <c:grouping val="clustered"/>
        <c:varyColors val="0"/>
        <c:ser>
          <c:idx val="0"/>
          <c:order val="0"/>
          <c:tx>
            <c:strRef>
              <c:f>'PEP Impact Model'!$W$19</c:f>
              <c:strCache>
                <c:ptCount val="1"/>
                <c:pt idx="0">
                  <c:v>Unmitigated Event</c:v>
                </c:pt>
              </c:strCache>
            </c:strRef>
          </c:tx>
          <c:spPr>
            <a:solidFill>
              <a:srgbClr val="C00000"/>
            </a:solidFill>
          </c:spPr>
          <c:invertIfNegative val="0"/>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'PEP Impact Model'!$V$20:$V$21</c:f>
              <c:strCache>
                <c:ptCount val="2"/>
                <c:pt idx="0">
                  <c:v>Cases</c:v>
                </c:pt>
                <c:pt idx="1">
                  <c:v>Deaths</c:v>
                </c:pt>
              </c:strCache>
            </c:strRef>
          </c:cat>
          <c:val>
            <c:numRef>
              <c:f>'PEP Impact Model'!$W$20:$W$21</c:f>
              <c:numCache>
                <c:formatCode>0</c:formatCode>
                <c:ptCount val="2"/>
                <c:pt idx="0">
                  <c:v>#N/A</c:v>
                </c:pt>
                <c:pt idx="1">
                  <c:v>#N/A</c:v>
                </c:pt>
              </c:numCache>
            </c:numRef>
          </c:val>
        </c:ser>
        <c:ser>
          <c:idx val="1"/>
          <c:order val="1"/>
          <c:tx>
            <c:strRef>
              <c:f>'PEP Impact Model'!$X$19</c:f>
              <c:strCache>
                <c:ptCount val="1"/>
                <c:pt idx="0">
                  <c:v>Event with a PEP Campaign*</c:v>
                </c:pt>
              </c:strCache>
            </c:strRef>
          </c:tx>
          <c:spPr>
            <a:solidFill>
              <a:srgbClr val="0070C0"/>
            </a:solidFill>
          </c:spPr>
          <c:invertIfNegative val="0"/>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'PEP Impact Model'!$V$20:$V$21</c:f>
              <c:strCache>
                <c:ptCount val="2"/>
                <c:pt idx="0">
                  <c:v>Cases</c:v>
                </c:pt>
                <c:pt idx="1">
                  <c:v>Deaths</c:v>
                </c:pt>
              </c:strCache>
            </c:strRef>
          </c:cat>
          <c:val>
            <c:numRef>
              <c:f>'PEP Impact Model'!$X$20:$X$21</c:f>
              <c:numCache>
                <c:formatCode>0</c:formatCode>
                <c:ptCount val="2"/>
                <c:pt idx="0">
                  <c:v>0</c:v>
                </c:pt>
                <c:pt idx="1">
                  <c:v>0</c:v>
                </c:pt>
              </c:numCache>
            </c:numRef>
          </c:val>
        </c:ser>
        <c:ser>
          <c:idx val="2"/>
          <c:order val="2"/>
          <c:tx>
            <c:v>Detected Cases to-date</c:v>
          </c:tx>
          <c:spPr>
            <a:solidFill>
              <a:schemeClr val="accent6">
                <a:lumMod val="75000"/>
              </a:schemeClr>
            </a:solidFill>
          </c:spPr>
          <c:invertIfNegative val="0"/>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'Epi-Curve Model'!$J$117</c:f>
              <c:numCache>
                <c:formatCode>#,##0_);\(#,##0\)</c:formatCode>
                <c:ptCount val="1"/>
                <c:pt idx="0">
                  <c:v>#N/A</c:v>
                </c:pt>
              </c:numCache>
            </c:numRef>
          </c:val>
        </c:ser>
        <c:dLbls>
          <c:showLegendKey val="0"/>
          <c:showVal val="0"/>
          <c:showCatName val="0"/>
          <c:showSerName val="0"/>
          <c:showPercent val="0"/>
          <c:showBubbleSize val="0"/>
        </c:dLbls>
        <c:gapWidth val="51"/>
        <c:overlap val="100"/>
        <c:axId val="206872024"/>
        <c:axId val="206872416"/>
      </c:barChart>
      <c:catAx>
        <c:axId val="206872024"/>
        <c:scaling>
          <c:orientation val="minMax"/>
        </c:scaling>
        <c:delete val="0"/>
        <c:axPos val="b"/>
        <c:numFmt formatCode="General" sourceLinked="0"/>
        <c:majorTickMark val="out"/>
        <c:minorTickMark val="none"/>
        <c:tickLblPos val="nextTo"/>
        <c:txPr>
          <a:bodyPr/>
          <a:lstStyle/>
          <a:p>
            <a:pPr>
              <a:defRPr sz="1200" b="1"/>
            </a:pPr>
            <a:endParaRPr lang="en-US"/>
          </a:p>
        </c:txPr>
        <c:crossAx val="206872416"/>
        <c:crosses val="autoZero"/>
        <c:auto val="1"/>
        <c:lblAlgn val="ctr"/>
        <c:lblOffset val="100"/>
        <c:noMultiLvlLbl val="0"/>
      </c:catAx>
      <c:valAx>
        <c:axId val="206872416"/>
        <c:scaling>
          <c:orientation val="minMax"/>
        </c:scaling>
        <c:delete val="0"/>
        <c:axPos val="l"/>
        <c:numFmt formatCode="0" sourceLinked="1"/>
        <c:majorTickMark val="out"/>
        <c:minorTickMark val="none"/>
        <c:tickLblPos val="nextTo"/>
        <c:crossAx val="206872024"/>
        <c:crosses val="autoZero"/>
        <c:crossBetween val="between"/>
      </c:valAx>
    </c:plotArea>
    <c:legend>
      <c:legendPos val="r"/>
      <c:layout>
        <c:manualLayout>
          <c:xMode val="edge"/>
          <c:yMode val="edge"/>
          <c:x val="0.5500504662432969"/>
          <c:y val="0.18868024932358396"/>
          <c:w val="0.37934923349014826"/>
          <c:h val="0.18467603745419836"/>
        </c:manualLayout>
      </c:layout>
      <c:overlay val="0"/>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sz="1400"/>
            </a:pPr>
            <a:r>
              <a:rPr lang="en-US" sz="1400"/>
              <a:t>Detected</a:t>
            </a:r>
            <a:r>
              <a:rPr lang="en-US" sz="1400" baseline="0"/>
              <a:t> Cases and </a:t>
            </a:r>
            <a:r>
              <a:rPr lang="en-US" sz="1400"/>
              <a:t>Time Series</a:t>
            </a:r>
            <a:r>
              <a:rPr lang="en-US" sz="1400" baseline="0"/>
              <a:t> </a:t>
            </a:r>
            <a:r>
              <a:rPr lang="en-US" sz="1400"/>
              <a:t>Forecasts</a:t>
            </a:r>
            <a:r>
              <a:rPr lang="en-US" sz="1400" baseline="30000"/>
              <a:t>^</a:t>
            </a:r>
            <a:r>
              <a:rPr lang="en-US" sz="1400" baseline="0"/>
              <a:t> by day</a:t>
            </a:r>
            <a:r>
              <a:rPr lang="en-US" sz="1400"/>
              <a:t>, Without and</a:t>
            </a:r>
            <a:r>
              <a:rPr lang="en-US" sz="1400" baseline="0"/>
              <a:t> With</a:t>
            </a:r>
            <a:r>
              <a:rPr lang="en-US" sz="1400"/>
              <a:t> Intervention</a:t>
            </a:r>
            <a:endParaRPr lang="en-US" sz="1400" baseline="30000"/>
          </a:p>
        </c:rich>
      </c:tx>
      <c:layout>
        <c:manualLayout>
          <c:xMode val="edge"/>
          <c:yMode val="edge"/>
          <c:x val="0.12575755768834096"/>
          <c:y val="1.3616784289801219E-2"/>
        </c:manualLayout>
      </c:layout>
      <c:overlay val="1"/>
    </c:title>
    <c:autoTitleDeleted val="0"/>
    <c:plotArea>
      <c:layout>
        <c:manualLayout>
          <c:layoutTarget val="inner"/>
          <c:xMode val="edge"/>
          <c:yMode val="edge"/>
          <c:x val="0.12041477061994357"/>
          <c:y val="0.15142697702793659"/>
          <c:w val="0.82108037292648572"/>
          <c:h val="0.55680472844825901"/>
        </c:manualLayout>
      </c:layout>
      <c:barChart>
        <c:barDir val="col"/>
        <c:grouping val="clustered"/>
        <c:varyColors val="0"/>
        <c:ser>
          <c:idx val="2"/>
          <c:order val="2"/>
          <c:tx>
            <c:v>Detected Cases</c:v>
          </c:tx>
          <c:spPr>
            <a:solidFill>
              <a:srgbClr val="FF0000"/>
            </a:solidFill>
          </c:spPr>
          <c:invertIfNegative val="0"/>
          <c:val>
            <c:numRef>
              <c:f>'PEP Impact Model'!$K$19:$K$78</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er>
        <c:dLbls>
          <c:showLegendKey val="0"/>
          <c:showVal val="0"/>
          <c:showCatName val="0"/>
          <c:showSerName val="0"/>
          <c:showPercent val="0"/>
          <c:showBubbleSize val="0"/>
        </c:dLbls>
        <c:gapWidth val="61"/>
        <c:axId val="206873200"/>
        <c:axId val="206873592"/>
      </c:barChart>
      <c:lineChart>
        <c:grouping val="standard"/>
        <c:varyColors val="0"/>
        <c:ser>
          <c:idx val="1"/>
          <c:order val="0"/>
          <c:tx>
            <c:v>Without Intervention</c:v>
          </c:tx>
          <c:spPr>
            <a:ln>
              <a:prstDash val="dash"/>
            </a:ln>
          </c:spPr>
          <c:marker>
            <c:symbol val="none"/>
          </c:marker>
          <c:cat>
            <c:numRef>
              <c:f>'PEP Impact Model'!$B$19:$B$78</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'PEP Impact Model'!$J$19:$J$78</c:f>
              <c:numCache>
                <c:formatCode>0</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0"/>
          <c:order val="1"/>
          <c:tx>
            <c:v>With PEP Campaign*</c:v>
          </c:tx>
          <c:spPr>
            <a:ln>
              <a:prstDash val="dash"/>
            </a:ln>
          </c:spPr>
          <c:marker>
            <c:symbol val="none"/>
          </c:marker>
          <c:cat>
            <c:numRef>
              <c:f>'PEP Impact Model'!$B$19:$B$78</c:f>
              <c:numCache>
                <c:formatCode>m/d/yyyy</c:formatCode>
                <c:ptCount val="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numCache>
            </c:numRef>
          </c:cat>
          <c:val>
            <c:numRef>
              <c:f>'PEP Impact Model'!$O$19:$O$78</c:f>
              <c:numCache>
                <c:formatCode>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ser>
        <c:dLbls>
          <c:showLegendKey val="0"/>
          <c:showVal val="0"/>
          <c:showCatName val="0"/>
          <c:showSerName val="0"/>
          <c:showPercent val="0"/>
          <c:showBubbleSize val="0"/>
        </c:dLbls>
        <c:marker val="1"/>
        <c:smooth val="0"/>
        <c:axId val="206873200"/>
        <c:axId val="206873592"/>
      </c:lineChart>
      <c:dateAx>
        <c:axId val="206873200"/>
        <c:scaling>
          <c:orientation val="minMax"/>
        </c:scaling>
        <c:delete val="0"/>
        <c:axPos val="b"/>
        <c:title>
          <c:tx>
            <c:rich>
              <a:bodyPr/>
              <a:lstStyle/>
              <a:p>
                <a:pPr>
                  <a:defRPr/>
                </a:pPr>
                <a:r>
                  <a:rPr lang="en-US"/>
                  <a:t>Event Day</a:t>
                </a:r>
              </a:p>
            </c:rich>
          </c:tx>
          <c:layout/>
          <c:overlay val="0"/>
        </c:title>
        <c:numFmt formatCode="m/d;@" sourceLinked="0"/>
        <c:majorTickMark val="out"/>
        <c:minorTickMark val="none"/>
        <c:tickLblPos val="nextTo"/>
        <c:txPr>
          <a:bodyPr rot="-2700000"/>
          <a:lstStyle/>
          <a:p>
            <a:pPr>
              <a:defRPr/>
            </a:pPr>
            <a:endParaRPr lang="en-US"/>
          </a:p>
        </c:txPr>
        <c:crossAx val="206873592"/>
        <c:crosses val="autoZero"/>
        <c:auto val="1"/>
        <c:lblOffset val="100"/>
        <c:baseTimeUnit val="days"/>
        <c:majorUnit val="3"/>
        <c:majorTimeUnit val="days"/>
        <c:minorUnit val="2"/>
      </c:dateAx>
      <c:valAx>
        <c:axId val="206873592"/>
        <c:scaling>
          <c:orientation val="minMax"/>
        </c:scaling>
        <c:delete val="0"/>
        <c:axPos val="l"/>
        <c:title>
          <c:tx>
            <c:rich>
              <a:bodyPr rot="-5400000" vert="horz"/>
              <a:lstStyle/>
              <a:p>
                <a:pPr>
                  <a:defRPr/>
                </a:pPr>
                <a:r>
                  <a:rPr lang="en-US"/>
                  <a:t>Cases</a:t>
                </a:r>
              </a:p>
            </c:rich>
          </c:tx>
          <c:layout/>
          <c:overlay val="0"/>
        </c:title>
        <c:numFmt formatCode="0" sourceLinked="1"/>
        <c:majorTickMark val="out"/>
        <c:minorTickMark val="none"/>
        <c:tickLblPos val="nextTo"/>
        <c:crossAx val="206873200"/>
        <c:crosses val="autoZero"/>
        <c:crossBetween val="between"/>
      </c:valAx>
    </c:plotArea>
    <c:legend>
      <c:legendPos val="r"/>
      <c:layout>
        <c:manualLayout>
          <c:xMode val="edge"/>
          <c:yMode val="edge"/>
          <c:x val="0.53989064244746865"/>
          <c:y val="0.20325674238908326"/>
          <c:w val="0.39277595124809861"/>
          <c:h val="0.25688714369317456"/>
        </c:manualLayout>
      </c:layout>
      <c:overlay val="0"/>
    </c:legend>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100"/>
              <a:t>Projected</a:t>
            </a:r>
            <a:r>
              <a:rPr lang="en-US" sz="1100" baseline="0"/>
              <a:t> Cases Seeking Treatment, Treatment Outcomes, and Treatment Load, by Event Date</a:t>
            </a:r>
            <a:endParaRPr lang="en-US" sz="1100"/>
          </a:p>
        </c:rich>
      </c:tx>
      <c:layout/>
      <c:overlay val="0"/>
    </c:title>
    <c:autoTitleDeleted val="0"/>
    <c:plotArea>
      <c:layout>
        <c:manualLayout>
          <c:layoutTarget val="inner"/>
          <c:xMode val="edge"/>
          <c:yMode val="edge"/>
          <c:x val="0.10256335110262865"/>
          <c:y val="0.18544291158360438"/>
          <c:w val="0.78383792784788608"/>
          <c:h val="0.49503392197796925"/>
        </c:manualLayout>
      </c:layout>
      <c:lineChart>
        <c:grouping val="standard"/>
        <c:varyColors val="0"/>
        <c:ser>
          <c:idx val="0"/>
          <c:order val="0"/>
          <c:tx>
            <c:v>Newly symptomatic cases</c:v>
          </c:tx>
          <c:spPr>
            <a:ln>
              <a:solidFill>
                <a:schemeClr val="accent4"/>
              </a:solidFill>
            </a:ln>
          </c:spPr>
          <c:marker>
            <c:symbol val="none"/>
          </c:marker>
          <c:cat>
            <c:numRef>
              <c:f>Healthcare_Model!$B$27:$B$106</c:f>
              <c:numCache>
                <c:formatCode>m/d/yyyy</c:formatCode>
                <c:ptCount val="8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numCache>
            </c:numRef>
          </c:cat>
          <c:val>
            <c:numRef>
              <c:f>Healthcare_Model!$D$27:$D$106</c:f>
              <c:numCache>
                <c:formatCode>0</c:formatCode>
                <c:ptCount val="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Cache>
            </c:numRef>
          </c:val>
          <c:smooth val="0"/>
        </c:ser>
        <c:ser>
          <c:idx val="1"/>
          <c:order val="1"/>
          <c:tx>
            <c:v>Cases entering Treatment</c:v>
          </c:tx>
          <c:spPr>
            <a:ln>
              <a:solidFill>
                <a:schemeClr val="accent2"/>
              </a:solidFill>
            </a:ln>
          </c:spPr>
          <c:marker>
            <c:symbol val="none"/>
          </c:marker>
          <c:val>
            <c:numRef>
              <c:f>Healthcare_Model!$AB$27:$AB$106</c:f>
              <c:numCache>
                <c:formatCode>General</c:formatCode>
                <c:ptCount val="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formatCode="0">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formatCode="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ser>
          <c:idx val="4"/>
          <c:order val="2"/>
          <c:tx>
            <c:v>Recovered</c:v>
          </c:tx>
          <c:marker>
            <c:symbol val="none"/>
          </c:marker>
          <c:val>
            <c:numRef>
              <c:f>Healthcare_Model!$AO$27:$AO$105</c:f>
              <c:numCache>
                <c:formatCode>General</c:formatCode>
                <c:ptCount val="79"/>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numCache>
            </c:numRef>
          </c:val>
          <c:smooth val="0"/>
        </c:ser>
        <c:ser>
          <c:idx val="3"/>
          <c:order val="3"/>
          <c:tx>
            <c:v>Deaths during Treatment</c:v>
          </c:tx>
          <c:spPr>
            <a:ln>
              <a:solidFill>
                <a:schemeClr val="tx1">
                  <a:lumMod val="65000"/>
                  <a:lumOff val="35000"/>
                </a:schemeClr>
              </a:solidFill>
            </a:ln>
          </c:spPr>
          <c:marker>
            <c:symbol val="none"/>
          </c:marker>
          <c:val>
            <c:numRef>
              <c:f>Healthcare_Model!$AI$27:$AI$106</c:f>
              <c:numCache>
                <c:formatCode>General</c:formatCode>
                <c:ptCount val="80"/>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dLbls>
          <c:showLegendKey val="0"/>
          <c:showVal val="0"/>
          <c:showCatName val="0"/>
          <c:showSerName val="0"/>
          <c:showPercent val="0"/>
          <c:showBubbleSize val="0"/>
        </c:dLbls>
        <c:marker val="1"/>
        <c:smooth val="0"/>
        <c:axId val="31476816"/>
        <c:axId val="31476424"/>
      </c:lineChart>
      <c:lineChart>
        <c:grouping val="standard"/>
        <c:varyColors val="0"/>
        <c:ser>
          <c:idx val="5"/>
          <c:order val="4"/>
          <c:tx>
            <c:v>Treatment Load (right axis)</c:v>
          </c:tx>
          <c:marker>
            <c:symbol val="none"/>
          </c:marker>
          <c:val>
            <c:numRef>
              <c:f>Healthcare_Model!$AU$27:$AU$106</c:f>
              <c:numCache>
                <c:formatCode>General</c:formatCode>
                <c:ptCount val="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dLbls>
          <c:showLegendKey val="0"/>
          <c:showVal val="0"/>
          <c:showCatName val="0"/>
          <c:showSerName val="0"/>
          <c:showPercent val="0"/>
          <c:showBubbleSize val="0"/>
        </c:dLbls>
        <c:marker val="1"/>
        <c:smooth val="0"/>
        <c:axId val="31474856"/>
        <c:axId val="31476032"/>
      </c:lineChart>
      <c:dateAx>
        <c:axId val="31476816"/>
        <c:scaling>
          <c:orientation val="minMax"/>
        </c:scaling>
        <c:delete val="0"/>
        <c:axPos val="b"/>
        <c:title>
          <c:tx>
            <c:rich>
              <a:bodyPr/>
              <a:lstStyle/>
              <a:p>
                <a:pPr>
                  <a:defRPr sz="900"/>
                </a:pPr>
                <a:r>
                  <a:rPr lang="en-US" sz="900"/>
                  <a:t>Event Date</a:t>
                </a:r>
              </a:p>
            </c:rich>
          </c:tx>
          <c:layout>
            <c:manualLayout>
              <c:xMode val="edge"/>
              <c:yMode val="edge"/>
              <c:x val="0.42659848379921417"/>
              <c:y val="0.78812852846919135"/>
            </c:manualLayout>
          </c:layout>
          <c:overlay val="0"/>
        </c:title>
        <c:numFmt formatCode="m/d;@" sourceLinked="0"/>
        <c:majorTickMark val="out"/>
        <c:minorTickMark val="none"/>
        <c:tickLblPos val="nextTo"/>
        <c:txPr>
          <a:bodyPr rot="-2700000"/>
          <a:lstStyle/>
          <a:p>
            <a:pPr>
              <a:defRPr sz="800"/>
            </a:pPr>
            <a:endParaRPr lang="en-US"/>
          </a:p>
        </c:txPr>
        <c:crossAx val="31476424"/>
        <c:crosses val="autoZero"/>
        <c:auto val="1"/>
        <c:lblOffset val="100"/>
        <c:baseTimeUnit val="days"/>
      </c:dateAx>
      <c:valAx>
        <c:axId val="31476424"/>
        <c:scaling>
          <c:orientation val="minMax"/>
        </c:scaling>
        <c:delete val="0"/>
        <c:axPos val="l"/>
        <c:majorGridlines/>
        <c:title>
          <c:tx>
            <c:rich>
              <a:bodyPr rot="-5400000" vert="horz"/>
              <a:lstStyle/>
              <a:p>
                <a:pPr>
                  <a:defRPr/>
                </a:pPr>
                <a:r>
                  <a:rPr lang="en-US"/>
                  <a:t>Incident Cases</a:t>
                </a:r>
              </a:p>
            </c:rich>
          </c:tx>
          <c:layout/>
          <c:overlay val="0"/>
        </c:title>
        <c:numFmt formatCode="0" sourceLinked="1"/>
        <c:majorTickMark val="out"/>
        <c:minorTickMark val="none"/>
        <c:tickLblPos val="nextTo"/>
        <c:txPr>
          <a:bodyPr/>
          <a:lstStyle/>
          <a:p>
            <a:pPr>
              <a:defRPr sz="800"/>
            </a:pPr>
            <a:endParaRPr lang="en-US"/>
          </a:p>
        </c:txPr>
        <c:crossAx val="31476816"/>
        <c:crosses val="autoZero"/>
        <c:crossBetween val="between"/>
      </c:valAx>
      <c:valAx>
        <c:axId val="31476032"/>
        <c:scaling>
          <c:orientation val="minMax"/>
          <c:min val="0"/>
        </c:scaling>
        <c:delete val="0"/>
        <c:axPos val="r"/>
        <c:title>
          <c:tx>
            <c:rich>
              <a:bodyPr rot="-5400000" vert="horz"/>
              <a:lstStyle/>
              <a:p>
                <a:pPr>
                  <a:defRPr/>
                </a:pPr>
                <a:r>
                  <a:rPr lang="en-US"/>
                  <a:t>Treatment Load</a:t>
                </a:r>
              </a:p>
            </c:rich>
          </c:tx>
          <c:layout/>
          <c:overlay val="0"/>
        </c:title>
        <c:numFmt formatCode="General" sourceLinked="1"/>
        <c:majorTickMark val="out"/>
        <c:minorTickMark val="none"/>
        <c:tickLblPos val="nextTo"/>
        <c:txPr>
          <a:bodyPr/>
          <a:lstStyle/>
          <a:p>
            <a:pPr>
              <a:defRPr sz="800"/>
            </a:pPr>
            <a:endParaRPr lang="en-US"/>
          </a:p>
        </c:txPr>
        <c:crossAx val="31474856"/>
        <c:crosses val="max"/>
        <c:crossBetween val="between"/>
      </c:valAx>
      <c:catAx>
        <c:axId val="31474856"/>
        <c:scaling>
          <c:orientation val="minMax"/>
        </c:scaling>
        <c:delete val="1"/>
        <c:axPos val="b"/>
        <c:majorTickMark val="out"/>
        <c:minorTickMark val="none"/>
        <c:tickLblPos val="nextTo"/>
        <c:crossAx val="31476032"/>
        <c:crosses val="autoZero"/>
        <c:auto val="1"/>
        <c:lblAlgn val="ctr"/>
        <c:lblOffset val="100"/>
        <c:noMultiLvlLbl val="0"/>
      </c:catAx>
    </c:plotArea>
    <c:legend>
      <c:legendPos val="b"/>
      <c:layout>
        <c:manualLayout>
          <c:xMode val="edge"/>
          <c:yMode val="edge"/>
          <c:x val="3.0821363738571986E-2"/>
          <c:y val="0.85795701339635178"/>
          <c:w val="0.93835727252285606"/>
          <c:h val="0.1269915718002855"/>
        </c:manualLayout>
      </c:layout>
      <c:overlay val="0"/>
      <c:spPr>
        <a:solidFill>
          <a:schemeClr val="bg1"/>
        </a:solidFill>
      </c:spPr>
      <c:txPr>
        <a:bodyPr/>
        <a:lstStyle/>
        <a:p>
          <a:pPr rtl="0">
            <a:defRPr sz="800"/>
          </a:pPr>
          <a:endParaRPr lang="en-US"/>
        </a:p>
      </c:txPr>
    </c:legend>
    <c:plotVisOnly val="1"/>
    <c:dispBlanksAs val="zero"/>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100"/>
              <a:t>Projected </a:t>
            </a:r>
            <a:r>
              <a:rPr lang="en-US" sz="1100" baseline="0">
                <a:effectLst/>
              </a:rPr>
              <a:t>Cases Seeking Treatment</a:t>
            </a:r>
            <a:r>
              <a:rPr lang="en-US" sz="1100" baseline="0"/>
              <a:t> and Treatment Load </a:t>
            </a:r>
            <a:r>
              <a:rPr lang="en-US" sz="1100" u="sng" baseline="0"/>
              <a:t>With and Without a PEP Campaign</a:t>
            </a:r>
            <a:endParaRPr lang="en-US" sz="1100" u="sng"/>
          </a:p>
        </c:rich>
      </c:tx>
      <c:layout>
        <c:manualLayout>
          <c:xMode val="edge"/>
          <c:yMode val="edge"/>
          <c:x val="0.10258348784619402"/>
          <c:y val="0"/>
        </c:manualLayout>
      </c:layout>
      <c:overlay val="0"/>
    </c:title>
    <c:autoTitleDeleted val="0"/>
    <c:plotArea>
      <c:layout>
        <c:manualLayout>
          <c:layoutTarget val="inner"/>
          <c:xMode val="edge"/>
          <c:yMode val="edge"/>
          <c:x val="0.12272814634014279"/>
          <c:y val="0.17658648842176242"/>
          <c:w val="0.71456337876276199"/>
          <c:h val="0.46822422173798062"/>
        </c:manualLayout>
      </c:layout>
      <c:lineChart>
        <c:grouping val="standard"/>
        <c:varyColors val="0"/>
        <c:ser>
          <c:idx val="1"/>
          <c:order val="0"/>
          <c:tx>
            <c:v>Cases Entering Treatment with Campaign</c:v>
          </c:tx>
          <c:spPr>
            <a:ln>
              <a:solidFill>
                <a:schemeClr val="tx2"/>
              </a:solidFill>
            </a:ln>
          </c:spPr>
          <c:marker>
            <c:symbol val="none"/>
          </c:marker>
          <c:cat>
            <c:numRef>
              <c:f>Healthcare_Model!$B$27:$B$106</c:f>
              <c:numCache>
                <c:formatCode>m/d/yyyy</c:formatCode>
                <c:ptCount val="8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numCache>
            </c:numRef>
          </c:cat>
          <c:val>
            <c:numRef>
              <c:f>Healthcare_Model!$AB$27:$AB$106</c:f>
              <c:numCache>
                <c:formatCode>General</c:formatCode>
                <c:ptCount val="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formatCode="0">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formatCode="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ser>
          <c:idx val="0"/>
          <c:order val="2"/>
          <c:tx>
            <c:v>Cases Entering Treatment, No Campaign</c:v>
          </c:tx>
          <c:spPr>
            <a:ln>
              <a:solidFill>
                <a:srgbClr val="C00000"/>
              </a:solidFill>
            </a:ln>
          </c:spPr>
          <c:marker>
            <c:symbol val="none"/>
          </c:marker>
          <c:cat>
            <c:numRef>
              <c:f>Healthcare_Model!$B$27:$B$106</c:f>
              <c:numCache>
                <c:formatCode>m/d/yyyy</c:formatCode>
                <c:ptCount val="8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numCache>
            </c:numRef>
          </c:cat>
          <c:val>
            <c:numRef>
              <c:f>Healthcare_Model!$AB$117:$AB$196</c:f>
              <c:numCache>
                <c:formatCode>General</c:formatCode>
                <c:ptCount val="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dLbls>
          <c:showLegendKey val="0"/>
          <c:showVal val="0"/>
          <c:showCatName val="0"/>
          <c:showSerName val="0"/>
          <c:showPercent val="0"/>
          <c:showBubbleSize val="0"/>
        </c:dLbls>
        <c:marker val="1"/>
        <c:smooth val="0"/>
        <c:axId val="206871632"/>
        <c:axId val="207143952"/>
      </c:lineChart>
      <c:lineChart>
        <c:grouping val="standard"/>
        <c:varyColors val="0"/>
        <c:ser>
          <c:idx val="5"/>
          <c:order val="1"/>
          <c:tx>
            <c:v>Treatment Load, With Campaign (right axis)</c:v>
          </c:tx>
          <c:spPr>
            <a:ln>
              <a:solidFill>
                <a:schemeClr val="accent1"/>
              </a:solidFill>
            </a:ln>
          </c:spPr>
          <c:marker>
            <c:symbol val="none"/>
          </c:marker>
          <c:val>
            <c:numRef>
              <c:f>Healthcare_Model!$AU$27:$AU$106</c:f>
              <c:numCache>
                <c:formatCode>General</c:formatCode>
                <c:ptCount val="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ser>
          <c:idx val="2"/>
          <c:order val="3"/>
          <c:tx>
            <c:v>Treatment Load, No Campaign (right axis)</c:v>
          </c:tx>
          <c:spPr>
            <a:ln>
              <a:solidFill>
                <a:srgbClr val="FF7171"/>
              </a:solidFill>
            </a:ln>
          </c:spPr>
          <c:marker>
            <c:symbol val="none"/>
          </c:marker>
          <c:val>
            <c:numRef>
              <c:f>Healthcare_Model!$AU$117:$AU$196</c:f>
              <c:numCache>
                <c:formatCode>General</c:formatCode>
                <c:ptCount val="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numCache>
            </c:numRef>
          </c:val>
          <c:smooth val="0"/>
        </c:ser>
        <c:dLbls>
          <c:showLegendKey val="0"/>
          <c:showVal val="0"/>
          <c:showCatName val="0"/>
          <c:showSerName val="0"/>
          <c:showPercent val="0"/>
          <c:showBubbleSize val="0"/>
        </c:dLbls>
        <c:marker val="1"/>
        <c:smooth val="0"/>
        <c:axId val="207144736"/>
        <c:axId val="207144344"/>
      </c:lineChart>
      <c:dateAx>
        <c:axId val="206871632"/>
        <c:scaling>
          <c:orientation val="minMax"/>
        </c:scaling>
        <c:delete val="0"/>
        <c:axPos val="b"/>
        <c:title>
          <c:tx>
            <c:rich>
              <a:bodyPr/>
              <a:lstStyle/>
              <a:p>
                <a:pPr>
                  <a:defRPr/>
                </a:pPr>
                <a:r>
                  <a:rPr lang="en-US"/>
                  <a:t>Event Date</a:t>
                </a:r>
              </a:p>
            </c:rich>
          </c:tx>
          <c:layout/>
          <c:overlay val="0"/>
        </c:title>
        <c:numFmt formatCode="m/d;@" sourceLinked="0"/>
        <c:majorTickMark val="out"/>
        <c:minorTickMark val="none"/>
        <c:tickLblPos val="nextTo"/>
        <c:txPr>
          <a:bodyPr rot="-2700000"/>
          <a:lstStyle/>
          <a:p>
            <a:pPr>
              <a:defRPr sz="800"/>
            </a:pPr>
            <a:endParaRPr lang="en-US"/>
          </a:p>
        </c:txPr>
        <c:crossAx val="207143952"/>
        <c:crosses val="autoZero"/>
        <c:auto val="1"/>
        <c:lblOffset val="100"/>
        <c:baseTimeUnit val="days"/>
      </c:dateAx>
      <c:valAx>
        <c:axId val="207143952"/>
        <c:scaling>
          <c:orientation val="minMax"/>
        </c:scaling>
        <c:delete val="0"/>
        <c:axPos val="l"/>
        <c:majorGridlines/>
        <c:title>
          <c:tx>
            <c:rich>
              <a:bodyPr rot="-5400000" vert="horz"/>
              <a:lstStyle/>
              <a:p>
                <a:pPr>
                  <a:defRPr/>
                </a:pPr>
                <a:r>
                  <a:rPr lang="en-US"/>
                  <a:t>Incident Cases</a:t>
                </a:r>
              </a:p>
            </c:rich>
          </c:tx>
          <c:layout/>
          <c:overlay val="0"/>
        </c:title>
        <c:numFmt formatCode="General" sourceLinked="1"/>
        <c:majorTickMark val="out"/>
        <c:minorTickMark val="none"/>
        <c:tickLblPos val="nextTo"/>
        <c:txPr>
          <a:bodyPr/>
          <a:lstStyle/>
          <a:p>
            <a:pPr>
              <a:defRPr sz="800"/>
            </a:pPr>
            <a:endParaRPr lang="en-US"/>
          </a:p>
        </c:txPr>
        <c:crossAx val="206871632"/>
        <c:crosses val="autoZero"/>
        <c:crossBetween val="between"/>
      </c:valAx>
      <c:valAx>
        <c:axId val="207144344"/>
        <c:scaling>
          <c:orientation val="minMax"/>
          <c:min val="0"/>
        </c:scaling>
        <c:delete val="0"/>
        <c:axPos val="r"/>
        <c:title>
          <c:tx>
            <c:rich>
              <a:bodyPr rot="-5400000" vert="horz"/>
              <a:lstStyle/>
              <a:p>
                <a:pPr>
                  <a:defRPr/>
                </a:pPr>
                <a:r>
                  <a:rPr lang="en-US"/>
                  <a:t>Treatment Load</a:t>
                </a:r>
              </a:p>
            </c:rich>
          </c:tx>
          <c:layout/>
          <c:overlay val="0"/>
        </c:title>
        <c:numFmt formatCode="General" sourceLinked="1"/>
        <c:majorTickMark val="out"/>
        <c:minorTickMark val="none"/>
        <c:tickLblPos val="nextTo"/>
        <c:txPr>
          <a:bodyPr/>
          <a:lstStyle/>
          <a:p>
            <a:pPr>
              <a:defRPr sz="800"/>
            </a:pPr>
            <a:endParaRPr lang="en-US"/>
          </a:p>
        </c:txPr>
        <c:crossAx val="207144736"/>
        <c:crosses val="max"/>
        <c:crossBetween val="between"/>
      </c:valAx>
      <c:catAx>
        <c:axId val="207144736"/>
        <c:scaling>
          <c:orientation val="minMax"/>
        </c:scaling>
        <c:delete val="1"/>
        <c:axPos val="b"/>
        <c:majorTickMark val="out"/>
        <c:minorTickMark val="none"/>
        <c:tickLblPos val="nextTo"/>
        <c:crossAx val="207144344"/>
        <c:crosses val="autoZero"/>
        <c:auto val="1"/>
        <c:lblAlgn val="ctr"/>
        <c:lblOffset val="100"/>
        <c:noMultiLvlLbl val="0"/>
      </c:catAx>
    </c:plotArea>
    <c:legend>
      <c:legendPos val="b"/>
      <c:layout>
        <c:manualLayout>
          <c:xMode val="edge"/>
          <c:yMode val="edge"/>
          <c:x val="1.6740192190356568E-2"/>
          <c:y val="0.85137820696225341"/>
          <c:w val="0.94662890489443496"/>
          <c:h val="0.12569614027816225"/>
        </c:manualLayout>
      </c:layout>
      <c:overlay val="0"/>
      <c:spPr>
        <a:solidFill>
          <a:schemeClr val="bg1"/>
        </a:solidFill>
      </c:spPr>
      <c:txPr>
        <a:bodyPr/>
        <a:lstStyle/>
        <a:p>
          <a:pPr rtl="0">
            <a:defRPr sz="800"/>
          </a:pPr>
          <a:endParaRPr lang="en-US"/>
        </a:p>
      </c:txPr>
    </c:legend>
    <c:plotVisOnly val="1"/>
    <c:dispBlanksAs val="zero"/>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17" Type="http://schemas.openxmlformats.org/officeDocument/2006/relationships/chart" Target="../charts/chart26.xml"/><Relationship Id="rId2" Type="http://schemas.openxmlformats.org/officeDocument/2006/relationships/chart" Target="../charts/chart11.xml"/><Relationship Id="rId16" Type="http://schemas.openxmlformats.org/officeDocument/2006/relationships/chart" Target="../charts/chart25.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chart" Target="../charts/chart2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hyperlink" Target="#PARAMETERS!E8"/><Relationship Id="rId7" Type="http://schemas.openxmlformats.org/officeDocument/2006/relationships/chart" Target="../charts/chart3.xml"/><Relationship Id="rId2" Type="http://schemas.openxmlformats.org/officeDocument/2006/relationships/hyperlink" Target="#CASE_COUNTS!A1"/><Relationship Id="rId1" Type="http://schemas.openxmlformats.org/officeDocument/2006/relationships/hyperlink" Target="#DECISIONS!F7"/><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hyperlink" Target="#DECISIONS!F20"/></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34926</xdr:colOff>
      <xdr:row>34</xdr:row>
      <xdr:rowOff>50801</xdr:rowOff>
    </xdr:from>
    <xdr:to>
      <xdr:col>16</xdr:col>
      <xdr:colOff>349290</xdr:colOff>
      <xdr:row>61</xdr:row>
      <xdr:rowOff>114300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6" y="5429251"/>
          <a:ext cx="7008624" cy="45211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29308</xdr:colOff>
      <xdr:row>6</xdr:row>
      <xdr:rowOff>51288</xdr:rowOff>
    </xdr:from>
    <xdr:to>
      <xdr:col>18</xdr:col>
      <xdr:colOff>6594</xdr:colOff>
      <xdr:row>24</xdr:row>
      <xdr:rowOff>117231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29309</xdr:colOff>
      <xdr:row>24</xdr:row>
      <xdr:rowOff>153865</xdr:rowOff>
    </xdr:from>
    <xdr:to>
      <xdr:col>18</xdr:col>
      <xdr:colOff>7327</xdr:colOff>
      <xdr:row>42</xdr:row>
      <xdr:rowOff>7327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0.37418</cdr:x>
      <cdr:y>0.87022</cdr:y>
    </cdr:from>
    <cdr:to>
      <cdr:x>1</cdr:x>
      <cdr:y>1</cdr:y>
    </cdr:to>
    <cdr:sp macro="" textlink="">
      <cdr:nvSpPr>
        <cdr:cNvPr id="2" name="TextBox 1"/>
        <cdr:cNvSpPr txBox="1"/>
      </cdr:nvSpPr>
      <cdr:spPr>
        <a:xfrm xmlns:a="http://schemas.openxmlformats.org/drawingml/2006/main">
          <a:off x="1677862" y="2875592"/>
          <a:ext cx="2806214" cy="428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*intervention defined</a:t>
          </a:r>
          <a:r>
            <a:rPr lang="en-US" sz="900" baseline="0"/>
            <a:t> by user-specified implementation and efficiency metrics</a:t>
          </a:r>
          <a:endParaRPr lang="en-US" sz="900"/>
        </a:p>
      </cdr:txBody>
    </cdr:sp>
  </cdr:relSizeAnchor>
  <cdr:relSizeAnchor xmlns:cdr="http://schemas.openxmlformats.org/drawingml/2006/chartDrawing">
    <cdr:from>
      <cdr:x>0.04085</cdr:x>
      <cdr:y>0.8714</cdr:y>
    </cdr:from>
    <cdr:to>
      <cdr:x>0.35784</cdr:x>
      <cdr:y>0.93126</cdr:y>
    </cdr:to>
    <cdr:sp macro="" textlink="">
      <cdr:nvSpPr>
        <cdr:cNvPr id="3" name="TextBox 2"/>
        <cdr:cNvSpPr txBox="1"/>
      </cdr:nvSpPr>
      <cdr:spPr>
        <a:xfrm xmlns:a="http://schemas.openxmlformats.org/drawingml/2006/main">
          <a:off x="183172" y="2879481"/>
          <a:ext cx="1421423" cy="1978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effectLst/>
              <a:latin typeface="+mn-lt"/>
              <a:ea typeface="+mn-ea"/>
              <a:cs typeface="+mn-cs"/>
            </a:rPr>
            <a:t>^median estimates</a:t>
          </a:r>
          <a:r>
            <a:rPr lang="en-US" sz="900" baseline="0">
              <a:effectLst/>
              <a:latin typeface="+mn-lt"/>
              <a:ea typeface="+mn-ea"/>
              <a:cs typeface="+mn-cs"/>
            </a:rPr>
            <a:t> used  </a:t>
          </a:r>
          <a:endParaRPr lang="en-US" sz="900"/>
        </a:p>
      </cdr:txBody>
    </cdr:sp>
  </cdr:relSizeAnchor>
</c:userShapes>
</file>

<file path=xl/drawings/drawing12.xml><?xml version="1.0" encoding="utf-8"?>
<c:userShapes xmlns:c="http://schemas.openxmlformats.org/drawingml/2006/chart">
  <cdr:relSizeAnchor xmlns:cdr="http://schemas.openxmlformats.org/drawingml/2006/chartDrawing">
    <cdr:from>
      <cdr:x>0.13485</cdr:x>
      <cdr:y>0.90785</cdr:y>
    </cdr:from>
    <cdr:to>
      <cdr:x>0.47424</cdr:x>
      <cdr:y>0.9763</cdr:y>
    </cdr:to>
    <cdr:sp macro="" textlink="">
      <cdr:nvSpPr>
        <cdr:cNvPr id="2" name="TextBox 1"/>
        <cdr:cNvSpPr txBox="1"/>
      </cdr:nvSpPr>
      <cdr:spPr>
        <a:xfrm xmlns:a="http://schemas.openxmlformats.org/drawingml/2006/main">
          <a:off x="770661" y="2985654"/>
          <a:ext cx="1939636"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0.37133</cdr:x>
      <cdr:y>0.8722</cdr:y>
    </cdr:from>
    <cdr:to>
      <cdr:x>0.99511</cdr:x>
      <cdr:y>0.99177</cdr:y>
    </cdr:to>
    <cdr:sp macro="" textlink="">
      <cdr:nvSpPr>
        <cdr:cNvPr id="4" name="TextBox 1"/>
        <cdr:cNvSpPr txBox="1"/>
      </cdr:nvSpPr>
      <cdr:spPr>
        <a:xfrm xmlns:a="http://schemas.openxmlformats.org/drawingml/2006/main">
          <a:off x="1670534" y="3128107"/>
          <a:ext cx="2806214" cy="428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t>*intervention defined</a:t>
          </a:r>
          <a:r>
            <a:rPr lang="en-US" sz="900" baseline="0"/>
            <a:t> by user-specified implementation and efficiency metrics</a:t>
          </a:r>
          <a:endParaRPr lang="en-US" sz="900"/>
        </a:p>
      </cdr:txBody>
    </cdr:sp>
  </cdr:relSizeAnchor>
  <cdr:relSizeAnchor xmlns:cdr="http://schemas.openxmlformats.org/drawingml/2006/chartDrawing">
    <cdr:from>
      <cdr:x>0.05852</cdr:x>
      <cdr:y>0.87016</cdr:y>
    </cdr:from>
    <cdr:to>
      <cdr:x>0.37448</cdr:x>
      <cdr:y>0.92532</cdr:y>
    </cdr:to>
    <cdr:sp macro="" textlink="">
      <cdr:nvSpPr>
        <cdr:cNvPr id="5" name="TextBox 1"/>
        <cdr:cNvSpPr txBox="1"/>
      </cdr:nvSpPr>
      <cdr:spPr>
        <a:xfrm xmlns:a="http://schemas.openxmlformats.org/drawingml/2006/main">
          <a:off x="263280" y="3120781"/>
          <a:ext cx="1421423" cy="197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effectLst/>
              <a:latin typeface="+mn-lt"/>
              <a:ea typeface="+mn-ea"/>
              <a:cs typeface="+mn-cs"/>
            </a:rPr>
            <a:t>^median estimate</a:t>
          </a:r>
          <a:r>
            <a:rPr lang="en-US" sz="900" baseline="0">
              <a:effectLst/>
              <a:latin typeface="+mn-lt"/>
              <a:ea typeface="+mn-ea"/>
              <a:cs typeface="+mn-cs"/>
            </a:rPr>
            <a:t> used  </a:t>
          </a:r>
          <a:endParaRPr lang="en-US" sz="900"/>
        </a:p>
      </cdr:txBody>
    </cdr:sp>
  </cdr:relSizeAnchor>
</c:userShapes>
</file>

<file path=xl/drawings/drawing13.xml><?xml version="1.0" encoding="utf-8"?>
<xdr:wsDr xmlns:xdr="http://schemas.openxmlformats.org/drawingml/2006/spreadsheetDrawing" xmlns:a="http://schemas.openxmlformats.org/drawingml/2006/main">
  <xdr:twoCellAnchor>
    <xdr:from>
      <xdr:col>11</xdr:col>
      <xdr:colOff>2</xdr:colOff>
      <xdr:row>6</xdr:row>
      <xdr:rowOff>0</xdr:rowOff>
    </xdr:from>
    <xdr:to>
      <xdr:col>17</xdr:col>
      <xdr:colOff>29309</xdr:colOff>
      <xdr:row>21</xdr:row>
      <xdr:rowOff>87312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21</xdr:row>
      <xdr:rowOff>114789</xdr:rowOff>
    </xdr:from>
    <xdr:to>
      <xdr:col>17</xdr:col>
      <xdr:colOff>43962</xdr:colOff>
      <xdr:row>36</xdr:row>
      <xdr:rowOff>150812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1300595</xdr:colOff>
      <xdr:row>38</xdr:row>
      <xdr:rowOff>60612</xdr:rowOff>
    </xdr:from>
    <xdr:to>
      <xdr:col>19</xdr:col>
      <xdr:colOff>658091</xdr:colOff>
      <xdr:row>47</xdr:row>
      <xdr:rowOff>52818</xdr:rowOff>
    </xdr:to>
    <xdr:graphicFrame macro="">
      <xdr:nvGraphicFramePr>
        <xdr:cNvPr id="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50</xdr:col>
      <xdr:colOff>207479</xdr:colOff>
      <xdr:row>91</xdr:row>
      <xdr:rowOff>102054</xdr:rowOff>
    </xdr:from>
    <xdr:to>
      <xdr:col>52</xdr:col>
      <xdr:colOff>2398610</xdr:colOff>
      <xdr:row>110</xdr:row>
      <xdr:rowOff>24434</xdr:rowOff>
    </xdr:to>
    <xdr:graphicFrame macro="">
      <xdr:nvGraphicFramePr>
        <xdr:cNvPr id="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50</xdr:col>
      <xdr:colOff>202326</xdr:colOff>
      <xdr:row>71</xdr:row>
      <xdr:rowOff>38101</xdr:rowOff>
    </xdr:from>
    <xdr:to>
      <xdr:col>52</xdr:col>
      <xdr:colOff>2393457</xdr:colOff>
      <xdr:row>90</xdr:row>
      <xdr:rowOff>140806</xdr:rowOff>
    </xdr:to>
    <xdr:graphicFrame macro="">
      <xdr:nvGraphicFramePr>
        <xdr:cNvPr id="5"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52</xdr:col>
      <xdr:colOff>2563090</xdr:colOff>
      <xdr:row>71</xdr:row>
      <xdr:rowOff>51956</xdr:rowOff>
    </xdr:from>
    <xdr:to>
      <xdr:col>59</xdr:col>
      <xdr:colOff>311727</xdr:colOff>
      <xdr:row>90</xdr:row>
      <xdr:rowOff>115619</xdr:rowOff>
    </xdr:to>
    <xdr:graphicFrame macro="">
      <xdr:nvGraphicFramePr>
        <xdr:cNvPr id="8"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52</xdr:col>
      <xdr:colOff>2553566</xdr:colOff>
      <xdr:row>91</xdr:row>
      <xdr:rowOff>160193</xdr:rowOff>
    </xdr:from>
    <xdr:to>
      <xdr:col>59</xdr:col>
      <xdr:colOff>320386</xdr:colOff>
      <xdr:row>109</xdr:row>
      <xdr:rowOff>160194</xdr:rowOff>
    </xdr:to>
    <xdr:graphicFrame macro="">
      <xdr:nvGraphicFramePr>
        <xdr:cNvPr id="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50</xdr:col>
      <xdr:colOff>207479</xdr:colOff>
      <xdr:row>235</xdr:row>
      <xdr:rowOff>24433</xdr:rowOff>
    </xdr:from>
    <xdr:to>
      <xdr:col>52</xdr:col>
      <xdr:colOff>2398610</xdr:colOff>
      <xdr:row>253</xdr:row>
      <xdr:rowOff>24434</xdr:rowOff>
    </xdr:to>
    <xdr:graphicFrame macro="">
      <xdr:nvGraphicFramePr>
        <xdr:cNvPr id="11"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50</xdr:col>
      <xdr:colOff>192801</xdr:colOff>
      <xdr:row>215</xdr:row>
      <xdr:rowOff>7868</xdr:rowOff>
    </xdr:from>
    <xdr:to>
      <xdr:col>52</xdr:col>
      <xdr:colOff>2383932</xdr:colOff>
      <xdr:row>233</xdr:row>
      <xdr:rowOff>140805</xdr:rowOff>
    </xdr:to>
    <xdr:graphicFrame macro="">
      <xdr:nvGraphicFramePr>
        <xdr:cNvPr id="1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52</xdr:col>
      <xdr:colOff>2518065</xdr:colOff>
      <xdr:row>215</xdr:row>
      <xdr:rowOff>25977</xdr:rowOff>
    </xdr:from>
    <xdr:to>
      <xdr:col>59</xdr:col>
      <xdr:colOff>294409</xdr:colOff>
      <xdr:row>233</xdr:row>
      <xdr:rowOff>158914</xdr:rowOff>
    </xdr:to>
    <xdr:graphicFrame macro="">
      <xdr:nvGraphicFramePr>
        <xdr:cNvPr id="15"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52</xdr:col>
      <xdr:colOff>2544042</xdr:colOff>
      <xdr:row>235</xdr:row>
      <xdr:rowOff>17318</xdr:rowOff>
    </xdr:from>
    <xdr:to>
      <xdr:col>59</xdr:col>
      <xdr:colOff>303069</xdr:colOff>
      <xdr:row>253</xdr:row>
      <xdr:rowOff>17319</xdr:rowOff>
    </xdr:to>
    <xdr:graphicFrame macro="">
      <xdr:nvGraphicFramePr>
        <xdr:cNvPr id="16"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50</xdr:col>
      <xdr:colOff>207479</xdr:colOff>
      <xdr:row>306</xdr:row>
      <xdr:rowOff>24433</xdr:rowOff>
    </xdr:from>
    <xdr:to>
      <xdr:col>52</xdr:col>
      <xdr:colOff>2398610</xdr:colOff>
      <xdr:row>324</xdr:row>
      <xdr:rowOff>24434</xdr:rowOff>
    </xdr:to>
    <xdr:graphicFrame macro="">
      <xdr:nvGraphicFramePr>
        <xdr:cNvPr id="27"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50</xdr:col>
      <xdr:colOff>192802</xdr:colOff>
      <xdr:row>286</xdr:row>
      <xdr:rowOff>7868</xdr:rowOff>
    </xdr:from>
    <xdr:to>
      <xdr:col>52</xdr:col>
      <xdr:colOff>2383933</xdr:colOff>
      <xdr:row>304</xdr:row>
      <xdr:rowOff>140805</xdr:rowOff>
    </xdr:to>
    <xdr:graphicFrame macro="">
      <xdr:nvGraphicFramePr>
        <xdr:cNvPr id="28"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52</xdr:col>
      <xdr:colOff>2527590</xdr:colOff>
      <xdr:row>286</xdr:row>
      <xdr:rowOff>6927</xdr:rowOff>
    </xdr:from>
    <xdr:to>
      <xdr:col>59</xdr:col>
      <xdr:colOff>381000</xdr:colOff>
      <xdr:row>304</xdr:row>
      <xdr:rowOff>139864</xdr:rowOff>
    </xdr:to>
    <xdr:graphicFrame macro="">
      <xdr:nvGraphicFramePr>
        <xdr:cNvPr id="2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52</xdr:col>
      <xdr:colOff>2553567</xdr:colOff>
      <xdr:row>305</xdr:row>
      <xdr:rowOff>160193</xdr:rowOff>
    </xdr:from>
    <xdr:to>
      <xdr:col>59</xdr:col>
      <xdr:colOff>389660</xdr:colOff>
      <xdr:row>323</xdr:row>
      <xdr:rowOff>160194</xdr:rowOff>
    </xdr:to>
    <xdr:graphicFrame macro="">
      <xdr:nvGraphicFramePr>
        <xdr:cNvPr id="3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50</xdr:col>
      <xdr:colOff>207479</xdr:colOff>
      <xdr:row>164</xdr:row>
      <xdr:rowOff>24433</xdr:rowOff>
    </xdr:from>
    <xdr:to>
      <xdr:col>52</xdr:col>
      <xdr:colOff>2398610</xdr:colOff>
      <xdr:row>182</xdr:row>
      <xdr:rowOff>24434</xdr:rowOff>
    </xdr:to>
    <xdr:graphicFrame macro="">
      <xdr:nvGraphicFramePr>
        <xdr:cNvPr id="24"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50</xdr:col>
      <xdr:colOff>192801</xdr:colOff>
      <xdr:row>144</xdr:row>
      <xdr:rowOff>7868</xdr:rowOff>
    </xdr:from>
    <xdr:to>
      <xdr:col>52</xdr:col>
      <xdr:colOff>2383932</xdr:colOff>
      <xdr:row>162</xdr:row>
      <xdr:rowOff>140805</xdr:rowOff>
    </xdr:to>
    <xdr:graphicFrame macro="">
      <xdr:nvGraphicFramePr>
        <xdr:cNvPr id="25"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52</xdr:col>
      <xdr:colOff>2518066</xdr:colOff>
      <xdr:row>144</xdr:row>
      <xdr:rowOff>25977</xdr:rowOff>
    </xdr:from>
    <xdr:to>
      <xdr:col>59</xdr:col>
      <xdr:colOff>225137</xdr:colOff>
      <xdr:row>162</xdr:row>
      <xdr:rowOff>158914</xdr:rowOff>
    </xdr:to>
    <xdr:graphicFrame macro="">
      <xdr:nvGraphicFramePr>
        <xdr:cNvPr id="3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52</xdr:col>
      <xdr:colOff>2578678</xdr:colOff>
      <xdr:row>164</xdr:row>
      <xdr:rowOff>8659</xdr:rowOff>
    </xdr:from>
    <xdr:to>
      <xdr:col>59</xdr:col>
      <xdr:colOff>225137</xdr:colOff>
      <xdr:row>182</xdr:row>
      <xdr:rowOff>8660</xdr:rowOff>
    </xdr:to>
    <xdr:graphicFrame macro="">
      <xdr:nvGraphicFramePr>
        <xdr:cNvPr id="34"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0.10566</cdr:x>
      <cdr:y>0.08877</cdr:y>
    </cdr:from>
    <cdr:to>
      <cdr:x>0.57931</cdr:x>
      <cdr:y>0.15861</cdr:y>
    </cdr:to>
    <cdr:sp macro="" textlink="'Epi-Curve Model'!$AZ$61">
      <cdr:nvSpPr>
        <cdr:cNvPr id="2" name="TextBox 1"/>
        <cdr:cNvSpPr txBox="1"/>
      </cdr:nvSpPr>
      <cdr:spPr>
        <a:xfrm xmlns:a="http://schemas.openxmlformats.org/drawingml/2006/main">
          <a:off x="554264" y="268513"/>
          <a:ext cx="2484736" cy="2112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A7D81B7-D066-49C6-9493-07A02D8E8A0C}" type="TxLink">
            <a:rPr lang="en-US" sz="1050" b="1"/>
            <a:pPr/>
            <a:t>Incubation Distribution: Wilkening;</a:t>
          </a:fld>
          <a:endParaRPr lang="en-US" sz="1050" b="1"/>
        </a:p>
      </cdr:txBody>
    </cdr:sp>
  </cdr:relSizeAnchor>
  <cdr:relSizeAnchor xmlns:cdr="http://schemas.openxmlformats.org/drawingml/2006/chartDrawing">
    <cdr:from>
      <cdr:x>0.51937</cdr:x>
      <cdr:y>0.09102</cdr:y>
    </cdr:from>
    <cdr:to>
      <cdr:x>0.9562</cdr:x>
      <cdr:y>0.16086</cdr:y>
    </cdr:to>
    <cdr:sp macro="" textlink="">
      <cdr:nvSpPr>
        <cdr:cNvPr id="3" name="TextBox 1"/>
        <cdr:cNvSpPr txBox="1"/>
      </cdr:nvSpPr>
      <cdr:spPr>
        <a:xfrm xmlns:a="http://schemas.openxmlformats.org/drawingml/2006/main">
          <a:off x="2724602" y="275319"/>
          <a:ext cx="2291577" cy="2112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6FB3CA5-F9BB-40EA-94F3-8A7596140CE7}" type="TxLink">
            <a:rPr lang="en-US" sz="1050" b="1"/>
            <a:pPr/>
            <a:t>Case Assignment Method: Base Case</a:t>
          </a:fld>
          <a:endParaRPr lang="en-US" sz="1050" b="1"/>
        </a:p>
      </cdr:txBody>
    </cdr:sp>
  </cdr:relSizeAnchor>
</c:userShapes>
</file>

<file path=xl/drawings/drawing16.xml><?xml version="1.0" encoding="utf-8"?>
<c:userShapes xmlns:c="http://schemas.openxmlformats.org/drawingml/2006/chart">
  <cdr:relSizeAnchor xmlns:cdr="http://schemas.openxmlformats.org/drawingml/2006/chartDrawing">
    <cdr:from>
      <cdr:x>0.11133</cdr:x>
      <cdr:y>0.08688</cdr:y>
    </cdr:from>
    <cdr:to>
      <cdr:x>0.58498</cdr:x>
      <cdr:y>0.15279</cdr:y>
    </cdr:to>
    <cdr:sp macro="" textlink="'Epi-Curve Model'!$AZ$61">
      <cdr:nvSpPr>
        <cdr:cNvPr id="2" name="TextBox 1"/>
        <cdr:cNvSpPr txBox="1"/>
      </cdr:nvSpPr>
      <cdr:spPr>
        <a:xfrm xmlns:a="http://schemas.openxmlformats.org/drawingml/2006/main">
          <a:off x="584006" y="278470"/>
          <a:ext cx="2484736" cy="2112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8360CAC-411B-4002-93B6-37ACBAAEE445}" type="TxLink">
            <a:rPr lang="en-US" sz="1050" b="1"/>
            <a:pPr/>
            <a:t>Incubation Distribution: Wilkening;</a:t>
          </a:fld>
          <a:endParaRPr lang="en-US" sz="1050" b="1"/>
        </a:p>
      </cdr:txBody>
    </cdr:sp>
  </cdr:relSizeAnchor>
  <cdr:relSizeAnchor xmlns:cdr="http://schemas.openxmlformats.org/drawingml/2006/chartDrawing">
    <cdr:from>
      <cdr:x>0.54116</cdr:x>
      <cdr:y>0.08663</cdr:y>
    </cdr:from>
    <cdr:to>
      <cdr:x>0.97799</cdr:x>
      <cdr:y>0.15254</cdr:y>
    </cdr:to>
    <cdr:sp macro="" textlink="'Epi-Curve Model'!$AZ$62">
      <cdr:nvSpPr>
        <cdr:cNvPr id="4" name="TextBox 1"/>
        <cdr:cNvSpPr txBox="1"/>
      </cdr:nvSpPr>
      <cdr:spPr>
        <a:xfrm xmlns:a="http://schemas.openxmlformats.org/drawingml/2006/main">
          <a:off x="2838871" y="277667"/>
          <a:ext cx="2291577" cy="2112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6FB3CA5-F9BB-40EA-94F3-8A7596140CE7}" type="TxLink">
            <a:rPr lang="en-US" sz="1050" b="1"/>
            <a:pPr/>
            <a:t>Case Assignment Method: Base Case</a:t>
          </a:fld>
          <a:endParaRPr lang="en-US" sz="1050" b="1"/>
        </a:p>
      </cdr:txBody>
    </cdr:sp>
  </cdr:relSizeAnchor>
</c:userShapes>
</file>

<file path=xl/drawings/drawing17.xml><?xml version="1.0" encoding="utf-8"?>
<xdr:wsDr xmlns:xdr="http://schemas.openxmlformats.org/drawingml/2006/spreadsheetDrawing" xmlns:a="http://schemas.openxmlformats.org/drawingml/2006/main">
  <xdr:twoCellAnchor>
    <xdr:from>
      <xdr:col>14</xdr:col>
      <xdr:colOff>95249</xdr:colOff>
      <xdr:row>1</xdr:row>
      <xdr:rowOff>83130</xdr:rowOff>
    </xdr:from>
    <xdr:to>
      <xdr:col>20</xdr:col>
      <xdr:colOff>207818</xdr:colOff>
      <xdr:row>16</xdr:row>
      <xdr:rowOff>545523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380999</xdr:colOff>
      <xdr:row>1</xdr:row>
      <xdr:rowOff>157596</xdr:rowOff>
    </xdr:from>
    <xdr:to>
      <xdr:col>26</xdr:col>
      <xdr:colOff>545522</xdr:colOff>
      <xdr:row>16</xdr:row>
      <xdr:rowOff>519545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0.02088</cdr:x>
      <cdr:y>0.91653</cdr:y>
    </cdr:from>
    <cdr:to>
      <cdr:x>0.99165</cdr:x>
      <cdr:y>0.98384</cdr:y>
    </cdr:to>
    <cdr:sp macro="" textlink="">
      <cdr:nvSpPr>
        <cdr:cNvPr id="2" name="TextBox 1"/>
        <cdr:cNvSpPr txBox="1"/>
      </cdr:nvSpPr>
      <cdr:spPr>
        <a:xfrm xmlns:a="http://schemas.openxmlformats.org/drawingml/2006/main">
          <a:off x="86591" y="2947552"/>
          <a:ext cx="4026477" cy="2164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a:t>*as defined</a:t>
          </a:r>
          <a:r>
            <a:rPr lang="en-US" sz="1000" baseline="0"/>
            <a:t> by user-specified implementation and efficiency </a:t>
          </a:r>
          <a:r>
            <a:rPr lang="en-US" sz="1100" baseline="0"/>
            <a:t>metrics</a:t>
          </a:r>
          <a:endParaRPr lang="en-US" sz="1100"/>
        </a:p>
      </cdr:txBody>
    </cdr:sp>
  </cdr:relSizeAnchor>
</c:userShapes>
</file>

<file path=xl/drawings/drawing19.xml><?xml version="1.0" encoding="utf-8"?>
<c:userShapes xmlns:c="http://schemas.openxmlformats.org/drawingml/2006/chart">
  <cdr:relSizeAnchor xmlns:cdr="http://schemas.openxmlformats.org/drawingml/2006/chartDrawing">
    <cdr:from>
      <cdr:x>0.13485</cdr:x>
      <cdr:y>0.90785</cdr:y>
    </cdr:from>
    <cdr:to>
      <cdr:x>0.47424</cdr:x>
      <cdr:y>0.9763</cdr:y>
    </cdr:to>
    <cdr:sp macro="" textlink="">
      <cdr:nvSpPr>
        <cdr:cNvPr id="2" name="TextBox 1"/>
        <cdr:cNvSpPr txBox="1"/>
      </cdr:nvSpPr>
      <cdr:spPr>
        <a:xfrm xmlns:a="http://schemas.openxmlformats.org/drawingml/2006/main">
          <a:off x="770661" y="2985654"/>
          <a:ext cx="1939636"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0.11212</cdr:x>
      <cdr:y>0.91246</cdr:y>
    </cdr:from>
    <cdr:to>
      <cdr:x>0.93182</cdr:x>
      <cdr:y>0.97749</cdr:y>
    </cdr:to>
    <cdr:sp macro="" textlink="">
      <cdr:nvSpPr>
        <cdr:cNvPr id="3" name="TextBox 2"/>
        <cdr:cNvSpPr txBox="1"/>
      </cdr:nvSpPr>
      <cdr:spPr>
        <a:xfrm xmlns:a="http://schemas.openxmlformats.org/drawingml/2006/main">
          <a:off x="640774" y="3158837"/>
          <a:ext cx="4684569" cy="2251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effectLst/>
              <a:latin typeface="+mn-lt"/>
              <a:ea typeface="+mn-ea"/>
              <a:cs typeface="+mn-cs"/>
            </a:rPr>
            <a:t>*intervention defined</a:t>
          </a:r>
          <a:r>
            <a:rPr lang="en-US" sz="1100" baseline="0">
              <a:effectLst/>
              <a:latin typeface="+mn-lt"/>
              <a:ea typeface="+mn-ea"/>
              <a:cs typeface="+mn-cs"/>
            </a:rPr>
            <a:t> by user-specified implementation and efficiency metrics</a:t>
          </a:r>
          <a:endParaRPr lang="en-US">
            <a:effectLst/>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571500</xdr:colOff>
      <xdr:row>6</xdr:row>
      <xdr:rowOff>19050</xdr:rowOff>
    </xdr:from>
    <xdr:to>
      <xdr:col>10</xdr:col>
      <xdr:colOff>228600</xdr:colOff>
      <xdr:row>16</xdr:row>
      <xdr:rowOff>146050</xdr:rowOff>
    </xdr:to>
    <xdr:grpSp>
      <xdr:nvGrpSpPr>
        <xdr:cNvPr id="5" name="Group 4"/>
        <xdr:cNvGrpSpPr/>
      </xdr:nvGrpSpPr>
      <xdr:grpSpPr>
        <a:xfrm>
          <a:off x="753208" y="1044819"/>
          <a:ext cx="5143500" cy="1815123"/>
          <a:chOff x="615950" y="914400"/>
          <a:chExt cx="5638800" cy="2216150"/>
        </a:xfrm>
      </xdr:grpSpPr>
      <xdr:pic>
        <xdr:nvPicPr>
          <xdr:cNvPr id="3" name="Picture 2"/>
          <xdr:cNvPicPr>
            <a:picLocks noChangeAspect="1"/>
          </xdr:cNvPicPr>
        </xdr:nvPicPr>
        <xdr:blipFill rotWithShape="1">
          <a:blip xmlns:r="http://schemas.openxmlformats.org/officeDocument/2006/relationships" r:embed="rId1"/>
          <a:srcRect l="2625" t="29189" r="40951" b="30732"/>
          <a:stretch/>
        </xdr:blipFill>
        <xdr:spPr>
          <a:xfrm>
            <a:off x="660400" y="940959"/>
            <a:ext cx="5480050" cy="2189591"/>
          </a:xfrm>
          <a:prstGeom prst="rect">
            <a:avLst/>
          </a:prstGeom>
        </xdr:spPr>
      </xdr:pic>
      <xdr:sp macro="" textlink="">
        <xdr:nvSpPr>
          <xdr:cNvPr id="4" name="Oval 3"/>
          <xdr:cNvSpPr/>
        </xdr:nvSpPr>
        <xdr:spPr>
          <a:xfrm>
            <a:off x="615950" y="914400"/>
            <a:ext cx="5638800" cy="990600"/>
          </a:xfrm>
          <a:prstGeom prst="ellipse">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228600</xdr:colOff>
      <xdr:row>24</xdr:row>
      <xdr:rowOff>7618</xdr:rowOff>
    </xdr:from>
    <xdr:to>
      <xdr:col>11</xdr:col>
      <xdr:colOff>190500</xdr:colOff>
      <xdr:row>37</xdr:row>
      <xdr:rowOff>146050</xdr:rowOff>
    </xdr:to>
    <xdr:grpSp>
      <xdr:nvGrpSpPr>
        <xdr:cNvPr id="9" name="Group 8"/>
        <xdr:cNvGrpSpPr/>
      </xdr:nvGrpSpPr>
      <xdr:grpSpPr>
        <a:xfrm>
          <a:off x="410308" y="4028633"/>
          <a:ext cx="6057900" cy="2348232"/>
          <a:chOff x="412750" y="4414518"/>
          <a:chExt cx="6057900" cy="2284732"/>
        </a:xfrm>
      </xdr:grpSpPr>
      <xdr:pic>
        <xdr:nvPicPr>
          <xdr:cNvPr id="6" name="Picture 5"/>
          <xdr:cNvPicPr>
            <a:picLocks noChangeAspect="1"/>
          </xdr:cNvPicPr>
        </xdr:nvPicPr>
        <xdr:blipFill rotWithShape="1">
          <a:blip xmlns:r="http://schemas.openxmlformats.org/officeDocument/2006/relationships" r:embed="rId2"/>
          <a:srcRect l="2917" t="27485" r="51411" b="43845"/>
          <a:stretch/>
        </xdr:blipFill>
        <xdr:spPr>
          <a:xfrm>
            <a:off x="412750" y="4414518"/>
            <a:ext cx="6038850" cy="2132331"/>
          </a:xfrm>
          <a:prstGeom prst="rect">
            <a:avLst/>
          </a:prstGeom>
        </xdr:spPr>
      </xdr:pic>
      <xdr:sp macro="" textlink="">
        <xdr:nvSpPr>
          <xdr:cNvPr id="7" name="Oval 6"/>
          <xdr:cNvSpPr/>
        </xdr:nvSpPr>
        <xdr:spPr>
          <a:xfrm>
            <a:off x="2578100" y="4940300"/>
            <a:ext cx="1244600" cy="1117600"/>
          </a:xfrm>
          <a:prstGeom prst="ellipse">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Oval 7"/>
          <xdr:cNvSpPr/>
        </xdr:nvSpPr>
        <xdr:spPr>
          <a:xfrm>
            <a:off x="5226050" y="5011418"/>
            <a:ext cx="1244600" cy="1687832"/>
          </a:xfrm>
          <a:prstGeom prst="ellipse">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21</xdr:col>
      <xdr:colOff>62056</xdr:colOff>
      <xdr:row>1</xdr:row>
      <xdr:rowOff>114515</xdr:rowOff>
    </xdr:from>
    <xdr:to>
      <xdr:col>26</xdr:col>
      <xdr:colOff>450272</xdr:colOff>
      <xdr:row>18</xdr:row>
      <xdr:rowOff>155863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147207</xdr:colOff>
      <xdr:row>0</xdr:row>
      <xdr:rowOff>155864</xdr:rowOff>
    </xdr:from>
    <xdr:to>
      <xdr:col>16</xdr:col>
      <xdr:colOff>363681</xdr:colOff>
      <xdr:row>18</xdr:row>
      <xdr:rowOff>39184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822615</xdr:colOff>
      <xdr:row>1</xdr:row>
      <xdr:rowOff>121227</xdr:rowOff>
    </xdr:from>
    <xdr:to>
      <xdr:col>30</xdr:col>
      <xdr:colOff>1011671</xdr:colOff>
      <xdr:row>18</xdr:row>
      <xdr:rowOff>162575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692728</xdr:colOff>
      <xdr:row>1</xdr:row>
      <xdr:rowOff>43295</xdr:rowOff>
    </xdr:from>
    <xdr:to>
      <xdr:col>20</xdr:col>
      <xdr:colOff>630671</xdr:colOff>
      <xdr:row>18</xdr:row>
      <xdr:rowOff>84643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263236</xdr:colOff>
      <xdr:row>5</xdr:row>
      <xdr:rowOff>65314</xdr:rowOff>
    </xdr:from>
    <xdr:to>
      <xdr:col>13</xdr:col>
      <xdr:colOff>24626</xdr:colOff>
      <xdr:row>24</xdr:row>
      <xdr:rowOff>46576</xdr:rowOff>
    </xdr:to>
    <xdr:graphicFrame macro="">
      <xdr:nvGraphicFramePr>
        <xdr:cNvPr id="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193430</xdr:colOff>
      <xdr:row>25</xdr:row>
      <xdr:rowOff>58616</xdr:rowOff>
    </xdr:from>
    <xdr:to>
      <xdr:col>12</xdr:col>
      <xdr:colOff>310660</xdr:colOff>
      <xdr:row>36</xdr:row>
      <xdr:rowOff>151524</xdr:rowOff>
    </xdr:to>
    <xdr:pic>
      <xdr:nvPicPr>
        <xdr:cNvPr id="3" name="Picture 2"/>
        <xdr:cNvPicPr>
          <a:picLocks noChangeAspect="1"/>
        </xdr:cNvPicPr>
      </xdr:nvPicPr>
      <xdr:blipFill>
        <a:blip xmlns:r="http://schemas.openxmlformats.org/officeDocument/2006/relationships" r:embed="rId1"/>
        <a:stretch>
          <a:fillRect/>
        </a:stretch>
      </xdr:blipFill>
      <xdr:spPr>
        <a:xfrm>
          <a:off x="2831122" y="4765431"/>
          <a:ext cx="3774830" cy="1915846"/>
        </a:xfrm>
        <a:prstGeom prst="rect">
          <a:avLst/>
        </a:prstGeom>
      </xdr:spPr>
    </xdr:pic>
    <xdr:clientData/>
  </xdr:twoCellAnchor>
  <xdr:twoCellAnchor editAs="oneCell">
    <xdr:from>
      <xdr:col>6</xdr:col>
      <xdr:colOff>205153</xdr:colOff>
      <xdr:row>12</xdr:row>
      <xdr:rowOff>166313</xdr:rowOff>
    </xdr:from>
    <xdr:to>
      <xdr:col>12</xdr:col>
      <xdr:colOff>299191</xdr:colOff>
      <xdr:row>24</xdr:row>
      <xdr:rowOff>35169</xdr:rowOff>
    </xdr:to>
    <xdr:pic>
      <xdr:nvPicPr>
        <xdr:cNvPr id="5" name="Picture 4"/>
        <xdr:cNvPicPr>
          <a:picLocks noChangeAspect="1"/>
        </xdr:cNvPicPr>
      </xdr:nvPicPr>
      <xdr:blipFill>
        <a:blip xmlns:r="http://schemas.openxmlformats.org/officeDocument/2006/relationships" r:embed="rId2"/>
        <a:stretch>
          <a:fillRect/>
        </a:stretch>
      </xdr:blipFill>
      <xdr:spPr>
        <a:xfrm>
          <a:off x="2842845" y="2663328"/>
          <a:ext cx="3751638" cy="19086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85725</xdr:colOff>
      <xdr:row>23</xdr:row>
      <xdr:rowOff>0</xdr:rowOff>
    </xdr:from>
    <xdr:to>
      <xdr:col>3</xdr:col>
      <xdr:colOff>85725</xdr:colOff>
      <xdr:row>23</xdr:row>
      <xdr:rowOff>0</xdr:rowOff>
    </xdr:to>
    <xdr:cxnSp macro="">
      <xdr:nvCxnSpPr>
        <xdr:cNvPr id="1062" name="AutoShape 38"/>
        <xdr:cNvCxnSpPr>
          <a:cxnSpLocks noChangeShapeType="1"/>
        </xdr:cNvCxnSpPr>
      </xdr:nvCxnSpPr>
      <xdr:spPr bwMode="auto">
        <a:xfrm>
          <a:off x="466725" y="3305175"/>
          <a:ext cx="0" cy="0"/>
        </a:xfrm>
        <a:prstGeom prst="straightConnector1">
          <a:avLst/>
        </a:prstGeom>
        <a:noFill/>
        <a:ln w="9525">
          <a:solidFill>
            <a:srgbClr val="000000"/>
          </a:solidFill>
          <a:round/>
          <a:headEnd/>
          <a:tailEnd/>
        </a:ln>
      </xdr:spPr>
    </xdr:cxnSp>
    <xdr:clientData/>
  </xdr:twoCellAnchor>
  <xdr:oneCellAnchor>
    <xdr:from>
      <xdr:col>9</xdr:col>
      <xdr:colOff>123825</xdr:colOff>
      <xdr:row>27</xdr:row>
      <xdr:rowOff>0</xdr:rowOff>
    </xdr:from>
    <xdr:ext cx="76200" cy="200025"/>
    <xdr:sp macro="" textlink="">
      <xdr:nvSpPr>
        <xdr:cNvPr id="1097" name="Text Box 73"/>
        <xdr:cNvSpPr txBox="1">
          <a:spLocks noChangeArrowheads="1"/>
        </xdr:cNvSpPr>
      </xdr:nvSpPr>
      <xdr:spPr bwMode="auto">
        <a:xfrm>
          <a:off x="2276475" y="3714750"/>
          <a:ext cx="76200" cy="200025"/>
        </a:xfrm>
        <a:prstGeom prst="rect">
          <a:avLst/>
        </a:prstGeom>
        <a:noFill/>
        <a:ln w="9525">
          <a:noFill/>
          <a:miter lim="800000"/>
          <a:headEnd/>
          <a:tailEnd/>
        </a:ln>
      </xdr:spPr>
    </xdr:sp>
    <xdr:clientData/>
  </xdr:oneCellAnchor>
  <xdr:twoCellAnchor>
    <xdr:from>
      <xdr:col>20</xdr:col>
      <xdr:colOff>54552</xdr:colOff>
      <xdr:row>22</xdr:row>
      <xdr:rowOff>323851</xdr:rowOff>
    </xdr:from>
    <xdr:to>
      <xdr:col>22</xdr:col>
      <xdr:colOff>207818</xdr:colOff>
      <xdr:row>24</xdr:row>
      <xdr:rowOff>122311</xdr:rowOff>
    </xdr:to>
    <xdr:sp macro="" textlink="">
      <xdr:nvSpPr>
        <xdr:cNvPr id="1098" name="AutoShape 74">
          <a:hlinkClick xmlns:r="http://schemas.openxmlformats.org/officeDocument/2006/relationships" r:id="rId1"/>
        </xdr:cNvPr>
        <xdr:cNvSpPr>
          <a:spLocks/>
        </xdr:cNvSpPr>
      </xdr:nvSpPr>
      <xdr:spPr bwMode="auto">
        <a:xfrm>
          <a:off x="8360352" y="4381501"/>
          <a:ext cx="915266" cy="693810"/>
        </a:xfrm>
        <a:prstGeom prst="borderCallout1">
          <a:avLst>
            <a:gd name="adj1" fmla="val 82223"/>
            <a:gd name="adj2" fmla="val -8603"/>
            <a:gd name="adj3" fmla="val -230603"/>
            <a:gd name="adj4" fmla="val -8991"/>
          </a:avLst>
        </a:prstGeom>
        <a:solidFill>
          <a:srgbClr val="FFFFFF"/>
        </a:solidFill>
        <a:ln w="9525">
          <a:solidFill>
            <a:srgbClr val="5F5F5F"/>
          </a:solidFill>
          <a:miter lim="800000"/>
          <a:headEnd/>
          <a:tailEnd/>
        </a:ln>
      </xdr:spPr>
      <xdr:txBody>
        <a:bodyPr vertOverflow="clip" wrap="square" lIns="27432" tIns="32004" rIns="0" bIns="0" anchor="t" upright="1"/>
        <a:lstStyle/>
        <a:p>
          <a:pPr algn="l" rtl="0">
            <a:defRPr sz="1000"/>
          </a:pPr>
          <a:r>
            <a:rPr lang="en-US" sz="1000" b="0" i="0" u="sng" strike="noStrike" baseline="0">
              <a:solidFill>
                <a:srgbClr val="0000FF"/>
              </a:solidFill>
              <a:latin typeface="Century Gothic"/>
            </a:rPr>
            <a:t>"Preposition" SNS assets</a:t>
          </a:r>
        </a:p>
        <a:p>
          <a:pPr algn="l" rtl="0">
            <a:defRPr sz="1000"/>
          </a:pPr>
          <a:endParaRPr lang="en-US" sz="800" b="0" i="0" u="none" strike="noStrike" baseline="0">
            <a:solidFill>
              <a:srgbClr val="000000"/>
            </a:solidFill>
            <a:latin typeface="Century Gothic"/>
          </a:endParaRPr>
        </a:p>
      </xdr:txBody>
    </xdr:sp>
    <xdr:clientData/>
  </xdr:twoCellAnchor>
  <xdr:oneCellAnchor>
    <xdr:from>
      <xdr:col>4</xdr:col>
      <xdr:colOff>117740</xdr:colOff>
      <xdr:row>11</xdr:row>
      <xdr:rowOff>67469</xdr:rowOff>
    </xdr:from>
    <xdr:ext cx="656165" cy="468312"/>
    <xdr:sp macro="" textlink="">
      <xdr:nvSpPr>
        <xdr:cNvPr id="1101" name="AutoShape 77">
          <a:hlinkClick xmlns:r="http://schemas.openxmlformats.org/officeDocument/2006/relationships" r:id="rId2"/>
        </xdr:cNvPr>
        <xdr:cNvSpPr>
          <a:spLocks/>
        </xdr:cNvSpPr>
      </xdr:nvSpPr>
      <xdr:spPr bwMode="auto">
        <a:xfrm>
          <a:off x="1653646" y="1377157"/>
          <a:ext cx="656165" cy="468312"/>
        </a:xfrm>
        <a:prstGeom prst="borderCallout1">
          <a:avLst>
            <a:gd name="adj1" fmla="val 13333"/>
            <a:gd name="adj2" fmla="val -13333"/>
            <a:gd name="adj3" fmla="val 272245"/>
            <a:gd name="adj4" fmla="val -15909"/>
          </a:avLst>
        </a:prstGeom>
        <a:solidFill>
          <a:srgbClr val="FFFFFF"/>
        </a:solidFill>
        <a:ln w="9525">
          <a:solidFill>
            <a:srgbClr val="5F5F5F"/>
          </a:solidFill>
          <a:miter lim="800000"/>
          <a:headEnd/>
          <a:tailEnd/>
        </a:ln>
      </xdr:spPr>
      <xdr:txBody>
        <a:bodyPr vertOverflow="clip" vert="horz" wrap="square" lIns="27432" tIns="32004" rIns="0" bIns="0" anchor="t" upright="1">
          <a:noAutofit/>
        </a:bodyPr>
        <a:lstStyle/>
        <a:p>
          <a:pPr algn="ctr" rtl="0">
            <a:defRPr sz="1000"/>
          </a:pPr>
          <a:r>
            <a:rPr lang="en-US" sz="1050" b="1" i="1" u="sng" strike="noStrike" baseline="0">
              <a:solidFill>
                <a:srgbClr val="FF0000"/>
              </a:solidFill>
              <a:latin typeface="Century Gothic"/>
            </a:rPr>
            <a:t>Case #1 Detected</a:t>
          </a:r>
          <a:endParaRPr lang="en-US" sz="1050" b="1" i="0" u="none" strike="noStrike" baseline="0">
            <a:solidFill>
              <a:srgbClr val="FF0000"/>
            </a:solidFill>
            <a:latin typeface="Century Gothic"/>
          </a:endParaRPr>
        </a:p>
      </xdr:txBody>
    </xdr:sp>
    <xdr:clientData/>
  </xdr:oneCellAnchor>
  <xdr:twoCellAnchor>
    <xdr:from>
      <xdr:col>36</xdr:col>
      <xdr:colOff>83485</xdr:colOff>
      <xdr:row>11</xdr:row>
      <xdr:rowOff>33072</xdr:rowOff>
    </xdr:from>
    <xdr:to>
      <xdr:col>39</xdr:col>
      <xdr:colOff>238124</xdr:colOff>
      <xdr:row>11</xdr:row>
      <xdr:rowOff>619126</xdr:rowOff>
    </xdr:to>
    <xdr:sp macro="" textlink="">
      <xdr:nvSpPr>
        <xdr:cNvPr id="24" name="AutoShape 77">
          <a:hlinkClick xmlns:r="http://schemas.openxmlformats.org/officeDocument/2006/relationships" r:id="rId3"/>
        </xdr:cNvPr>
        <xdr:cNvSpPr>
          <a:spLocks/>
        </xdr:cNvSpPr>
      </xdr:nvSpPr>
      <xdr:spPr bwMode="auto">
        <a:xfrm>
          <a:off x="13954266" y="1342760"/>
          <a:ext cx="1297639" cy="586054"/>
        </a:xfrm>
        <a:prstGeom prst="borderCallout1">
          <a:avLst>
            <a:gd name="adj1" fmla="val 22214"/>
            <a:gd name="adj2" fmla="val -7815"/>
            <a:gd name="adj3" fmla="val 247199"/>
            <a:gd name="adj4" fmla="val -7065"/>
          </a:avLst>
        </a:prstGeom>
        <a:solidFill>
          <a:srgbClr val="FFFFFF"/>
        </a:solidFill>
        <a:ln w="9525">
          <a:solidFill>
            <a:srgbClr val="5F5F5F"/>
          </a:solidFill>
          <a:miter lim="800000"/>
          <a:headEnd/>
          <a:tailEnd/>
        </a:ln>
      </xdr:spPr>
      <xdr:txBody>
        <a:bodyPr vertOverflow="clip" vert="horz" wrap="square" lIns="27432" tIns="32004" rIns="0" bIns="0" anchor="t" upright="1"/>
        <a:lstStyle/>
        <a:p>
          <a:pPr algn="ctr" rtl="0">
            <a:defRPr sz="1000"/>
          </a:pPr>
          <a:r>
            <a:rPr lang="en-US" sz="1000" b="0" i="0" u="sng" strike="noStrike" baseline="0">
              <a:solidFill>
                <a:srgbClr val="0000FF"/>
              </a:solidFill>
              <a:latin typeface="Century Gothic"/>
            </a:rPr>
            <a:t>Accurate Event-Specific Incubation Period Available</a:t>
          </a:r>
        </a:p>
      </xdr:txBody>
    </xdr:sp>
    <xdr:clientData/>
  </xdr:twoCellAnchor>
  <xdr:twoCellAnchor>
    <xdr:from>
      <xdr:col>34</xdr:col>
      <xdr:colOff>310645</xdr:colOff>
      <xdr:row>23</xdr:row>
      <xdr:rowOff>497898</xdr:rowOff>
    </xdr:from>
    <xdr:to>
      <xdr:col>37</xdr:col>
      <xdr:colOff>82911</xdr:colOff>
      <xdr:row>25</xdr:row>
      <xdr:rowOff>160193</xdr:rowOff>
    </xdr:to>
    <xdr:sp macro="" textlink="">
      <xdr:nvSpPr>
        <xdr:cNvPr id="10" name="AutoShape 74">
          <a:hlinkClick xmlns:r="http://schemas.openxmlformats.org/officeDocument/2006/relationships" r:id="rId4"/>
        </xdr:cNvPr>
        <xdr:cNvSpPr>
          <a:spLocks/>
        </xdr:cNvSpPr>
      </xdr:nvSpPr>
      <xdr:spPr bwMode="auto">
        <a:xfrm>
          <a:off x="13419426" y="4367429"/>
          <a:ext cx="915266" cy="590983"/>
        </a:xfrm>
        <a:prstGeom prst="borderCallout1">
          <a:avLst>
            <a:gd name="adj1" fmla="val 82223"/>
            <a:gd name="adj2" fmla="val -8603"/>
            <a:gd name="adj3" fmla="val -159588"/>
            <a:gd name="adj4" fmla="val -8045"/>
          </a:avLst>
        </a:prstGeom>
        <a:solidFill>
          <a:srgbClr val="FFFFFF"/>
        </a:solidFill>
        <a:ln w="9525">
          <a:solidFill>
            <a:srgbClr val="5F5F5F"/>
          </a:solidFill>
          <a:miter lim="800000"/>
          <a:headEnd/>
          <a:tailEnd/>
        </a:ln>
      </xdr:spPr>
      <xdr:txBody>
        <a:bodyPr vertOverflow="clip" wrap="square" lIns="27432" tIns="32004" rIns="0" bIns="0" anchor="t" upright="1"/>
        <a:lstStyle/>
        <a:p>
          <a:pPr algn="l" rtl="0">
            <a:defRPr sz="1000"/>
          </a:pPr>
          <a:r>
            <a:rPr lang="en-US" sz="1000" b="0" i="0" u="sng" strike="noStrike" baseline="0">
              <a:solidFill>
                <a:srgbClr val="0000FF"/>
              </a:solidFill>
              <a:latin typeface="Century Gothic"/>
            </a:rPr>
            <a:t>Begin PEP Dispensing Campaign</a:t>
          </a:r>
        </a:p>
        <a:p>
          <a:pPr algn="l" rtl="0">
            <a:defRPr sz="1000"/>
          </a:pPr>
          <a:endParaRPr lang="en-US" sz="1000" b="0" i="0" u="none" strike="noStrike" baseline="0">
            <a:solidFill>
              <a:srgbClr val="000000"/>
            </a:solidFill>
            <a:latin typeface="Century Gothic"/>
          </a:endParaRPr>
        </a:p>
        <a:p>
          <a:pPr algn="l" rtl="0">
            <a:defRPr sz="1000"/>
          </a:pPr>
          <a:endParaRPr lang="en-US" sz="800" b="0" i="0" u="none" strike="noStrike" baseline="0">
            <a:solidFill>
              <a:srgbClr val="000000"/>
            </a:solidFill>
            <a:latin typeface="Century Gothic"/>
          </a:endParaRPr>
        </a:p>
      </xdr:txBody>
    </xdr:sp>
    <xdr:clientData/>
  </xdr:twoCellAnchor>
  <xdr:twoCellAnchor>
    <xdr:from>
      <xdr:col>45</xdr:col>
      <xdr:colOff>231630</xdr:colOff>
      <xdr:row>11</xdr:row>
      <xdr:rowOff>23813</xdr:rowOff>
    </xdr:from>
    <xdr:to>
      <xdr:col>47</xdr:col>
      <xdr:colOff>315913</xdr:colOff>
      <xdr:row>11</xdr:row>
      <xdr:rowOff>616360</xdr:rowOff>
    </xdr:to>
    <xdr:sp macro="" textlink="">
      <xdr:nvSpPr>
        <xdr:cNvPr id="11" name="AutoShape 77"/>
        <xdr:cNvSpPr>
          <a:spLocks/>
        </xdr:cNvSpPr>
      </xdr:nvSpPr>
      <xdr:spPr bwMode="auto">
        <a:xfrm>
          <a:off x="17531411" y="1333501"/>
          <a:ext cx="846283" cy="592547"/>
        </a:xfrm>
        <a:prstGeom prst="borderCallout1">
          <a:avLst>
            <a:gd name="adj1" fmla="val 22214"/>
            <a:gd name="adj2" fmla="val -7815"/>
            <a:gd name="adj3" fmla="val 247199"/>
            <a:gd name="adj4" fmla="val -7065"/>
          </a:avLst>
        </a:prstGeom>
        <a:solidFill>
          <a:srgbClr val="FFFFFF"/>
        </a:solidFill>
        <a:ln w="9525">
          <a:solidFill>
            <a:srgbClr val="5F5F5F"/>
          </a:solidFill>
          <a:miter lim="800000"/>
          <a:headEnd/>
          <a:tailEnd/>
        </a:ln>
      </xdr:spPr>
      <xdr:txBody>
        <a:bodyPr vertOverflow="clip" vert="horz" wrap="square" lIns="27432" tIns="32004" rIns="0" bIns="0" anchor="t" upright="1"/>
        <a:lstStyle/>
        <a:p>
          <a:pPr algn="ctr" rtl="0">
            <a:defRPr sz="1000"/>
          </a:pPr>
          <a:r>
            <a:rPr lang="en-US" sz="1000" b="0" i="0" u="none" strike="noStrike" baseline="0">
              <a:solidFill>
                <a:sysClr val="windowText" lastClr="000000"/>
              </a:solidFill>
              <a:latin typeface="Century Gothic"/>
            </a:rPr>
            <a:t>PLUME MODELING AVAILABLE</a:t>
          </a:r>
        </a:p>
      </xdr:txBody>
    </xdr:sp>
    <xdr:clientData/>
  </xdr:twoCellAnchor>
  <xdr:twoCellAnchor>
    <xdr:from>
      <xdr:col>18</xdr:col>
      <xdr:colOff>179304</xdr:colOff>
      <xdr:row>10</xdr:row>
      <xdr:rowOff>156637</xdr:rowOff>
    </xdr:from>
    <xdr:to>
      <xdr:col>20</xdr:col>
      <xdr:colOff>369804</xdr:colOff>
      <xdr:row>11</xdr:row>
      <xdr:rowOff>457200</xdr:rowOff>
    </xdr:to>
    <xdr:sp macro="" textlink="">
      <xdr:nvSpPr>
        <xdr:cNvPr id="13" name="AutoShape 77"/>
        <xdr:cNvSpPr>
          <a:spLocks/>
        </xdr:cNvSpPr>
      </xdr:nvSpPr>
      <xdr:spPr bwMode="auto">
        <a:xfrm>
          <a:off x="7723104" y="1623487"/>
          <a:ext cx="952500" cy="472013"/>
        </a:xfrm>
        <a:prstGeom prst="borderCallout1">
          <a:avLst>
            <a:gd name="adj1" fmla="val 22214"/>
            <a:gd name="adj2" fmla="val -7815"/>
            <a:gd name="adj3" fmla="val 247199"/>
            <a:gd name="adj4" fmla="val -7065"/>
          </a:avLst>
        </a:prstGeom>
        <a:solidFill>
          <a:srgbClr val="FFFFFF"/>
        </a:solidFill>
        <a:ln w="9525">
          <a:solidFill>
            <a:srgbClr val="5F5F5F"/>
          </a:solidFill>
          <a:miter lim="800000"/>
          <a:headEnd/>
          <a:tailEnd/>
        </a:ln>
      </xdr:spPr>
      <xdr:txBody>
        <a:bodyPr vertOverflow="clip" vert="horz" wrap="square" lIns="27432" tIns="32004" rIns="0" bIns="0" anchor="t" upright="1"/>
        <a:lstStyle/>
        <a:p>
          <a:pPr algn="ctr" rtl="0">
            <a:defRPr sz="1000"/>
          </a:pPr>
          <a:r>
            <a:rPr lang="en-US" sz="1000" b="0" i="0" u="none" strike="noStrike" baseline="0">
              <a:solidFill>
                <a:sysClr val="windowText" lastClr="000000"/>
              </a:solidFill>
              <a:latin typeface="Century Gothic"/>
            </a:rPr>
            <a:t>SURVEILLANCE BEGINS</a:t>
          </a:r>
        </a:p>
      </xdr:txBody>
    </xdr:sp>
    <xdr:clientData/>
  </xdr:twoCellAnchor>
  <xdr:twoCellAnchor>
    <xdr:from>
      <xdr:col>23</xdr:col>
      <xdr:colOff>126175</xdr:colOff>
      <xdr:row>9</xdr:row>
      <xdr:rowOff>79170</xdr:rowOff>
    </xdr:from>
    <xdr:to>
      <xdr:col>26</xdr:col>
      <xdr:colOff>30924</xdr:colOff>
      <xdr:row>11</xdr:row>
      <xdr:rowOff>529442</xdr:rowOff>
    </xdr:to>
    <xdr:sp macro="" textlink="">
      <xdr:nvSpPr>
        <xdr:cNvPr id="14" name="AutoShape 77"/>
        <xdr:cNvSpPr>
          <a:spLocks/>
        </xdr:cNvSpPr>
      </xdr:nvSpPr>
      <xdr:spPr bwMode="auto">
        <a:xfrm>
          <a:off x="9583139" y="1378652"/>
          <a:ext cx="1047749" cy="783647"/>
        </a:xfrm>
        <a:prstGeom prst="borderCallout1">
          <a:avLst>
            <a:gd name="adj1" fmla="val 22214"/>
            <a:gd name="adj2" fmla="val -7815"/>
            <a:gd name="adj3" fmla="val 247199"/>
            <a:gd name="adj4" fmla="val -7065"/>
          </a:avLst>
        </a:prstGeom>
        <a:solidFill>
          <a:srgbClr val="FFFFFF"/>
        </a:solidFill>
        <a:ln w="9525">
          <a:solidFill>
            <a:srgbClr val="5F5F5F"/>
          </a:solidFill>
          <a:miter lim="800000"/>
          <a:headEnd/>
          <a:tailEnd/>
        </a:ln>
      </xdr:spPr>
      <xdr:txBody>
        <a:bodyPr vertOverflow="clip" vert="horz" wrap="square" lIns="27432" tIns="32004" rIns="0" bIns="0" anchor="t" upright="1"/>
        <a:lstStyle/>
        <a:p>
          <a:pPr algn="ctr" rtl="0">
            <a:defRPr sz="1000"/>
          </a:pPr>
          <a:r>
            <a:rPr lang="en-US" sz="1000" b="0" i="0" u="none" strike="noStrike" baseline="0">
              <a:solidFill>
                <a:sysClr val="windowText" lastClr="000000"/>
              </a:solidFill>
              <a:latin typeface="Century Gothic"/>
            </a:rPr>
            <a:t>ABx Susceptibility Profile Available</a:t>
          </a:r>
        </a:p>
      </xdr:txBody>
    </xdr:sp>
    <xdr:clientData/>
  </xdr:twoCellAnchor>
  <xdr:twoCellAnchor>
    <xdr:from>
      <xdr:col>25</xdr:col>
      <xdr:colOff>247866</xdr:colOff>
      <xdr:row>23</xdr:row>
      <xdr:rowOff>513515</xdr:rowOff>
    </xdr:from>
    <xdr:to>
      <xdr:col>28</xdr:col>
      <xdr:colOff>20132</xdr:colOff>
      <xdr:row>26</xdr:row>
      <xdr:rowOff>5721</xdr:rowOff>
    </xdr:to>
    <xdr:sp macro="" textlink="">
      <xdr:nvSpPr>
        <xdr:cNvPr id="15" name="AutoShape 74"/>
        <xdr:cNvSpPr>
          <a:spLocks/>
        </xdr:cNvSpPr>
      </xdr:nvSpPr>
      <xdr:spPr bwMode="auto">
        <a:xfrm>
          <a:off x="10466830" y="4731729"/>
          <a:ext cx="915266" cy="594385"/>
        </a:xfrm>
        <a:prstGeom prst="borderCallout1">
          <a:avLst>
            <a:gd name="adj1" fmla="val 82223"/>
            <a:gd name="adj2" fmla="val -8603"/>
            <a:gd name="adj3" fmla="val -159588"/>
            <a:gd name="adj4" fmla="val -8045"/>
          </a:avLst>
        </a:prstGeom>
        <a:solidFill>
          <a:srgbClr val="FFFFFF"/>
        </a:solidFill>
        <a:ln w="9525">
          <a:solidFill>
            <a:srgbClr val="5F5F5F"/>
          </a:solidFill>
          <a:miter lim="800000"/>
          <a:headEnd/>
          <a:tailEnd/>
        </a:ln>
      </xdr:spPr>
      <xdr:txBody>
        <a:bodyPr vertOverflow="clip" wrap="square" lIns="27432" tIns="32004" rIns="0" bIns="0" anchor="t" upright="1"/>
        <a:lstStyle/>
        <a:p>
          <a:pPr algn="l" rtl="0">
            <a:defRPr sz="1000"/>
          </a:pPr>
          <a:r>
            <a:rPr lang="en-US" sz="1000" b="0" i="0" u="none" strike="noStrike" baseline="0">
              <a:solidFill>
                <a:srgbClr val="000000"/>
              </a:solidFill>
              <a:latin typeface="Century Gothic"/>
            </a:rPr>
            <a:t>Public Health Messaging</a:t>
          </a:r>
        </a:p>
        <a:p>
          <a:pPr algn="l" rtl="0">
            <a:defRPr sz="1000"/>
          </a:pPr>
          <a:endParaRPr lang="en-US" sz="1000" b="0" i="0" u="none" strike="noStrike" baseline="0">
            <a:solidFill>
              <a:srgbClr val="000000"/>
            </a:solidFill>
            <a:latin typeface="Century Gothic"/>
          </a:endParaRPr>
        </a:p>
        <a:p>
          <a:pPr algn="l" rtl="0">
            <a:defRPr sz="1000"/>
          </a:pPr>
          <a:endParaRPr lang="en-US" sz="800" b="0" i="0" u="none" strike="noStrike" baseline="0">
            <a:solidFill>
              <a:srgbClr val="000000"/>
            </a:solidFill>
            <a:latin typeface="Century Gothic"/>
          </a:endParaRPr>
        </a:p>
      </xdr:txBody>
    </xdr:sp>
    <xdr:clientData/>
  </xdr:twoCellAnchor>
  <xdr:twoCellAnchor>
    <xdr:from>
      <xdr:col>42</xdr:col>
      <xdr:colOff>317139</xdr:colOff>
      <xdr:row>23</xdr:row>
      <xdr:rowOff>299821</xdr:rowOff>
    </xdr:from>
    <xdr:to>
      <xdr:col>45</xdr:col>
      <xdr:colOff>89405</xdr:colOff>
      <xdr:row>26</xdr:row>
      <xdr:rowOff>55202</xdr:rowOff>
    </xdr:to>
    <xdr:sp macro="" textlink="">
      <xdr:nvSpPr>
        <xdr:cNvPr id="16" name="AutoShape 74"/>
        <xdr:cNvSpPr>
          <a:spLocks/>
        </xdr:cNvSpPr>
      </xdr:nvSpPr>
      <xdr:spPr bwMode="auto">
        <a:xfrm>
          <a:off x="16473920" y="4169352"/>
          <a:ext cx="915266" cy="850756"/>
        </a:xfrm>
        <a:prstGeom prst="borderCallout1">
          <a:avLst>
            <a:gd name="adj1" fmla="val 82223"/>
            <a:gd name="adj2" fmla="val -8603"/>
            <a:gd name="adj3" fmla="val -94845"/>
            <a:gd name="adj4" fmla="val -7099"/>
          </a:avLst>
        </a:prstGeom>
        <a:solidFill>
          <a:srgbClr val="FFFFFF"/>
        </a:solidFill>
        <a:ln w="9525">
          <a:solidFill>
            <a:srgbClr val="5F5F5F"/>
          </a:solidFill>
          <a:miter lim="800000"/>
          <a:headEnd/>
          <a:tailEnd/>
        </a:ln>
      </xdr:spPr>
      <xdr:txBody>
        <a:bodyPr vertOverflow="clip" wrap="square" lIns="27432" tIns="32004" rIns="0" bIns="0" anchor="t" upright="1"/>
        <a:lstStyle/>
        <a:p>
          <a:pPr algn="l" rtl="0">
            <a:defRPr sz="1000"/>
          </a:pPr>
          <a:r>
            <a:rPr lang="en-US" sz="1000" b="0" i="0" u="none" strike="noStrike" baseline="0">
              <a:solidFill>
                <a:srgbClr val="000000"/>
              </a:solidFill>
              <a:latin typeface="Century Gothic"/>
            </a:rPr>
            <a:t>Medical Care and Triage Guidance Updated</a:t>
          </a:r>
        </a:p>
      </xdr:txBody>
    </xdr:sp>
    <xdr:clientData/>
  </xdr:twoCellAnchor>
  <xdr:twoCellAnchor>
    <xdr:from>
      <xdr:col>30</xdr:col>
      <xdr:colOff>276627</xdr:colOff>
      <xdr:row>10</xdr:row>
      <xdr:rowOff>154534</xdr:rowOff>
    </xdr:from>
    <xdr:to>
      <xdr:col>33</xdr:col>
      <xdr:colOff>103445</xdr:colOff>
      <xdr:row>11</xdr:row>
      <xdr:rowOff>571581</xdr:rowOff>
    </xdr:to>
    <xdr:sp macro="" textlink="">
      <xdr:nvSpPr>
        <xdr:cNvPr id="20" name="AutoShape 77"/>
        <xdr:cNvSpPr>
          <a:spLocks/>
        </xdr:cNvSpPr>
      </xdr:nvSpPr>
      <xdr:spPr bwMode="auto">
        <a:xfrm>
          <a:off x="12392427" y="1621384"/>
          <a:ext cx="969818" cy="588497"/>
        </a:xfrm>
        <a:prstGeom prst="borderCallout1">
          <a:avLst>
            <a:gd name="adj1" fmla="val 22214"/>
            <a:gd name="adj2" fmla="val -7815"/>
            <a:gd name="adj3" fmla="val 247199"/>
            <a:gd name="adj4" fmla="val -7065"/>
          </a:avLst>
        </a:prstGeom>
        <a:solidFill>
          <a:srgbClr val="FFFFFF"/>
        </a:solidFill>
        <a:ln w="9525">
          <a:solidFill>
            <a:srgbClr val="5F5F5F"/>
          </a:solidFill>
          <a:miter lim="800000"/>
          <a:headEnd/>
          <a:tailEnd/>
        </a:ln>
      </xdr:spPr>
      <xdr:txBody>
        <a:bodyPr vertOverflow="clip" vert="horz" wrap="square" lIns="27432" tIns="32004" rIns="0" bIns="0" anchor="t" upright="1"/>
        <a:lstStyle/>
        <a:p>
          <a:pPr algn="ctr" rtl="0">
            <a:defRPr sz="1000"/>
          </a:pPr>
          <a:r>
            <a:rPr lang="en-US" sz="1000" b="0" i="0" u="none" strike="noStrike" baseline="0">
              <a:solidFill>
                <a:sysClr val="windowText" lastClr="000000"/>
              </a:solidFill>
              <a:latin typeface="Century Gothic"/>
            </a:rPr>
            <a:t>Hospital EDs reach capacity</a:t>
          </a:r>
        </a:p>
      </xdr:txBody>
    </xdr:sp>
    <xdr:clientData/>
  </xdr:twoCellAnchor>
  <xdr:twoCellAnchor>
    <xdr:from>
      <xdr:col>66</xdr:col>
      <xdr:colOff>47625</xdr:colOff>
      <xdr:row>0</xdr:row>
      <xdr:rowOff>47625</xdr:rowOff>
    </xdr:from>
    <xdr:to>
      <xdr:col>73</xdr:col>
      <xdr:colOff>389659</xdr:colOff>
      <xdr:row>13</xdr:row>
      <xdr:rowOff>21248</xdr:rowOff>
    </xdr:to>
    <xdr:graphicFrame macro="">
      <xdr:nvGraphicFramePr>
        <xdr:cNvPr id="1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66</xdr:col>
      <xdr:colOff>47624</xdr:colOff>
      <xdr:row>13</xdr:row>
      <xdr:rowOff>57150</xdr:rowOff>
    </xdr:from>
    <xdr:to>
      <xdr:col>73</xdr:col>
      <xdr:colOff>389659</xdr:colOff>
      <xdr:row>29</xdr:row>
      <xdr:rowOff>38100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66</xdr:col>
      <xdr:colOff>38099</xdr:colOff>
      <xdr:row>29</xdr:row>
      <xdr:rowOff>66674</xdr:rowOff>
    </xdr:from>
    <xdr:to>
      <xdr:col>73</xdr:col>
      <xdr:colOff>398318</xdr:colOff>
      <xdr:row>45</xdr:row>
      <xdr:rowOff>114299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0.02765</cdr:x>
      <cdr:y>0.08173</cdr:y>
    </cdr:from>
    <cdr:to>
      <cdr:x>0.53352</cdr:x>
      <cdr:y>0.16188</cdr:y>
    </cdr:to>
    <cdr:sp macro="" textlink="'Epi-Curve Model'!$AZ$61">
      <cdr:nvSpPr>
        <cdr:cNvPr id="2" name="TextBox 1"/>
        <cdr:cNvSpPr txBox="1"/>
      </cdr:nvSpPr>
      <cdr:spPr>
        <a:xfrm xmlns:a="http://schemas.openxmlformats.org/drawingml/2006/main">
          <a:off x="126775" y="224311"/>
          <a:ext cx="2319418" cy="2199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8360CAC-411B-4002-93B6-37ACBAAEE445}" type="TxLink">
            <a:rPr lang="en-US" sz="1050" b="1"/>
            <a:pPr/>
            <a:t>Incubation Distribution: Wilkening;</a:t>
          </a:fld>
          <a:endParaRPr lang="en-US" sz="1050" b="1"/>
        </a:p>
      </cdr:txBody>
    </cdr:sp>
  </cdr:relSizeAnchor>
  <cdr:relSizeAnchor xmlns:cdr="http://schemas.openxmlformats.org/drawingml/2006/chartDrawing">
    <cdr:from>
      <cdr:x>0.4989</cdr:x>
      <cdr:y>0.08463</cdr:y>
    </cdr:from>
    <cdr:to>
      <cdr:x>0.99245</cdr:x>
      <cdr:y>0.15933</cdr:y>
    </cdr:to>
    <cdr:sp macro="" textlink="'Epi-Curve Model'!$AZ$62">
      <cdr:nvSpPr>
        <cdr:cNvPr id="4" name="TextBox 1"/>
        <cdr:cNvSpPr txBox="1"/>
      </cdr:nvSpPr>
      <cdr:spPr>
        <a:xfrm xmlns:a="http://schemas.openxmlformats.org/drawingml/2006/main">
          <a:off x="2287450" y="232283"/>
          <a:ext cx="2262902" cy="2050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6FB3CA5-F9BB-40EA-94F3-8A7596140CE7}" type="TxLink">
            <a:rPr lang="en-US" sz="1050" b="1"/>
            <a:pPr/>
            <a:t>Case Assignment Method: Base Case</a:t>
          </a:fld>
          <a:endParaRPr lang="en-US" sz="1050" b="1"/>
        </a:p>
      </cdr:txBody>
    </cdr:sp>
  </cdr:relSizeAnchor>
</c:userShapes>
</file>

<file path=xl/drawings/drawing6.xml><?xml version="1.0" encoding="utf-8"?>
<c:userShapes xmlns:c="http://schemas.openxmlformats.org/drawingml/2006/chart">
  <cdr:relSizeAnchor xmlns:cdr="http://schemas.openxmlformats.org/drawingml/2006/chartDrawing">
    <cdr:from>
      <cdr:x>0.37418</cdr:x>
      <cdr:y>0.87022</cdr:y>
    </cdr:from>
    <cdr:to>
      <cdr:x>1</cdr:x>
      <cdr:y>1</cdr:y>
    </cdr:to>
    <cdr:sp macro="" textlink="">
      <cdr:nvSpPr>
        <cdr:cNvPr id="2" name="TextBox 1"/>
        <cdr:cNvSpPr txBox="1"/>
      </cdr:nvSpPr>
      <cdr:spPr>
        <a:xfrm xmlns:a="http://schemas.openxmlformats.org/drawingml/2006/main">
          <a:off x="1677862" y="2875592"/>
          <a:ext cx="2806214" cy="428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*intervention defined</a:t>
          </a:r>
          <a:r>
            <a:rPr lang="en-US" sz="900" baseline="0"/>
            <a:t> by user-specified implementation and efficiency metrics</a:t>
          </a:r>
          <a:endParaRPr lang="en-US" sz="900"/>
        </a:p>
      </cdr:txBody>
    </cdr:sp>
  </cdr:relSizeAnchor>
  <cdr:relSizeAnchor xmlns:cdr="http://schemas.openxmlformats.org/drawingml/2006/chartDrawing">
    <cdr:from>
      <cdr:x>0.04085</cdr:x>
      <cdr:y>0.8714</cdr:y>
    </cdr:from>
    <cdr:to>
      <cdr:x>0.35784</cdr:x>
      <cdr:y>0.93126</cdr:y>
    </cdr:to>
    <cdr:sp macro="" textlink="">
      <cdr:nvSpPr>
        <cdr:cNvPr id="3" name="TextBox 2"/>
        <cdr:cNvSpPr txBox="1"/>
      </cdr:nvSpPr>
      <cdr:spPr>
        <a:xfrm xmlns:a="http://schemas.openxmlformats.org/drawingml/2006/main">
          <a:off x="183172" y="2879481"/>
          <a:ext cx="1421423" cy="1978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effectLst/>
              <a:latin typeface="+mn-lt"/>
              <a:ea typeface="+mn-ea"/>
              <a:cs typeface="+mn-cs"/>
            </a:rPr>
            <a:t>^median estimates</a:t>
          </a:r>
          <a:r>
            <a:rPr lang="en-US" sz="900" baseline="0">
              <a:effectLst/>
              <a:latin typeface="+mn-lt"/>
              <a:ea typeface="+mn-ea"/>
              <a:cs typeface="+mn-cs"/>
            </a:rPr>
            <a:t> used  </a:t>
          </a:r>
          <a:endParaRPr lang="en-US" sz="900"/>
        </a:p>
      </cdr:txBody>
    </cdr:sp>
  </cdr:relSizeAnchor>
</c:userShapes>
</file>

<file path=xl/drawings/drawing7.xml><?xml version="1.0" encoding="utf-8"?>
<xdr:wsDr xmlns:xdr="http://schemas.openxmlformats.org/drawingml/2006/spreadsheetDrawing" xmlns:a="http://schemas.openxmlformats.org/drawingml/2006/main">
  <xdr:twoCellAnchor>
    <xdr:from>
      <xdr:col>12</xdr:col>
      <xdr:colOff>1</xdr:colOff>
      <xdr:row>7</xdr:row>
      <xdr:rowOff>14654</xdr:rowOff>
    </xdr:from>
    <xdr:to>
      <xdr:col>28</xdr:col>
      <xdr:colOff>181841</xdr:colOff>
      <xdr:row>20</xdr:row>
      <xdr:rowOff>0</xdr:rowOff>
    </xdr:to>
    <xdr:graphicFrame macro="">
      <xdr:nvGraphicFramePr>
        <xdr:cNvPr id="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7938</xdr:colOff>
      <xdr:row>20</xdr:row>
      <xdr:rowOff>71437</xdr:rowOff>
    </xdr:from>
    <xdr:to>
      <xdr:col>28</xdr:col>
      <xdr:colOff>181120</xdr:colOff>
      <xdr:row>34</xdr:row>
      <xdr:rowOff>145038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cdr:x>
      <cdr:y>0.08952</cdr:y>
    </cdr:from>
    <cdr:to>
      <cdr:x>0.56049</cdr:x>
      <cdr:y>0.17412</cdr:y>
    </cdr:to>
    <cdr:sp macro="" textlink="'Epi-Curve Model'!$AZ$61">
      <cdr:nvSpPr>
        <cdr:cNvPr id="2" name="TextBox 1"/>
        <cdr:cNvSpPr txBox="1"/>
      </cdr:nvSpPr>
      <cdr:spPr>
        <a:xfrm xmlns:a="http://schemas.openxmlformats.org/drawingml/2006/main">
          <a:off x="0" y="223959"/>
          <a:ext cx="2664469" cy="21165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fld id="{5D20BA6B-6DCA-4016-B53A-5FEA895F9D2A}" type="TxLink">
            <a:rPr lang="en-US" sz="1050" b="0"/>
            <a:pPr/>
            <a:t>Incubation Distribution: Wilkening;</a:t>
          </a:fld>
          <a:endParaRPr lang="en-US" sz="1050" b="0"/>
        </a:p>
      </cdr:txBody>
    </cdr:sp>
  </cdr:relSizeAnchor>
  <cdr:relSizeAnchor xmlns:cdr="http://schemas.openxmlformats.org/drawingml/2006/chartDrawing">
    <cdr:from>
      <cdr:x>0.5273</cdr:x>
      <cdr:y>0.08418</cdr:y>
    </cdr:from>
    <cdr:to>
      <cdr:x>1</cdr:x>
      <cdr:y>0.16804</cdr:y>
    </cdr:to>
    <cdr:sp macro="" textlink="'Epi-Curve Model'!$AZ$62">
      <cdr:nvSpPr>
        <cdr:cNvPr id="4" name="TextBox 1"/>
        <cdr:cNvSpPr txBox="1"/>
      </cdr:nvSpPr>
      <cdr:spPr>
        <a:xfrm xmlns:a="http://schemas.openxmlformats.org/drawingml/2006/main">
          <a:off x="2476500" y="223890"/>
          <a:ext cx="2220057" cy="2230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6FB3CA5-F9BB-40EA-94F3-8A7596140CE7}" type="TxLink">
            <a:rPr lang="en-US" sz="1050" b="0"/>
            <a:pPr/>
            <a:t>Case Assignment Method: Base Case</a:t>
          </a:fld>
          <a:endParaRPr lang="en-US" sz="1050" b="0"/>
        </a:p>
      </cdr:txBody>
    </cdr:sp>
  </cdr:relSizeAnchor>
</c:userShapes>
</file>

<file path=xl/drawings/drawing9.xml><?xml version="1.0" encoding="utf-8"?>
<c:userShapes xmlns:c="http://schemas.openxmlformats.org/drawingml/2006/chart">
  <cdr:relSizeAnchor xmlns:cdr="http://schemas.openxmlformats.org/drawingml/2006/chartDrawing">
    <cdr:from>
      <cdr:x>0.01095</cdr:x>
      <cdr:y>0.08665</cdr:y>
    </cdr:from>
    <cdr:to>
      <cdr:x>0.56569</cdr:x>
      <cdr:y>0.1445</cdr:y>
    </cdr:to>
    <cdr:sp macro="" textlink="'Epi-Curve Model'!$AZ$61">
      <cdr:nvSpPr>
        <cdr:cNvPr id="2" name="TextBox 1"/>
        <cdr:cNvSpPr txBox="1"/>
      </cdr:nvSpPr>
      <cdr:spPr>
        <a:xfrm xmlns:a="http://schemas.openxmlformats.org/drawingml/2006/main">
          <a:off x="51955" y="246450"/>
          <a:ext cx="2632363" cy="16452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5E2E1D2-D0AF-481C-9AE3-A9F85E71D169}" type="TxLink">
            <a:rPr lang="en-US" sz="1050" b="0"/>
            <a:pPr/>
            <a:t>Incubation Distribution: Wilkening;</a:t>
          </a:fld>
          <a:endParaRPr lang="en-US" sz="1050" b="0"/>
        </a:p>
      </cdr:txBody>
    </cdr:sp>
  </cdr:relSizeAnchor>
  <cdr:relSizeAnchor xmlns:cdr="http://schemas.openxmlformats.org/drawingml/2006/chartDrawing">
    <cdr:from>
      <cdr:x>0.51971</cdr:x>
      <cdr:y>0.08242</cdr:y>
    </cdr:from>
    <cdr:to>
      <cdr:x>1</cdr:x>
      <cdr:y>0.14527</cdr:y>
    </cdr:to>
    <cdr:sp macro="" textlink="'Epi-Curve Model'!$AZ$62">
      <cdr:nvSpPr>
        <cdr:cNvPr id="3" name="TextBox 1"/>
        <cdr:cNvSpPr txBox="1"/>
      </cdr:nvSpPr>
      <cdr:spPr>
        <a:xfrm xmlns:a="http://schemas.openxmlformats.org/drawingml/2006/main">
          <a:off x="2466118" y="234423"/>
          <a:ext cx="2279064" cy="17875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DA298D9-5FC0-40E0-AAF5-707E9FD9195C}" type="TxLink">
            <a:rPr lang="en-US" sz="1050" b="0"/>
            <a:pPr algn="ctr"/>
            <a:t>Case Assignment Method: Base Case</a:t>
          </a:fld>
          <a:endParaRPr lang="en-US" sz="1050" b="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0.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GRainisch@cdc.gov?subject=Technical%20Support%20Request:%20Anthrax%20Info/Decision%20Dynamics%20Tool"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GRainisch@cdc.gov?subject=Technical%20Support%20Request:%20Anthrax%20Info/Decision%20Dynamics%20Too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79998168889431442"/>
  </sheetPr>
  <dimension ref="A1:N40"/>
  <sheetViews>
    <sheetView showGridLines="0" showRowColHeaders="0" tabSelected="1" zoomScaleNormal="100" workbookViewId="0"/>
  </sheetViews>
  <sheetFormatPr defaultRowHeight="13.2" x14ac:dyDescent="0.25"/>
  <cols>
    <col min="1" max="1" width="7.109375" customWidth="1"/>
    <col min="2" max="2" width="10.44140625" customWidth="1"/>
    <col min="5" max="5" width="3" style="17" customWidth="1"/>
  </cols>
  <sheetData>
    <row r="1" spans="1:14" ht="5.25" customHeight="1" x14ac:dyDescent="0.25"/>
    <row r="2" spans="1:14" ht="24.6" x14ac:dyDescent="0.4">
      <c r="B2" s="946" t="s">
        <v>633</v>
      </c>
      <c r="C2" s="946"/>
      <c r="D2" s="946"/>
      <c r="E2" s="946"/>
      <c r="F2" s="946"/>
      <c r="G2" s="946"/>
      <c r="H2" s="946"/>
      <c r="I2" s="946"/>
      <c r="J2" s="946"/>
      <c r="K2" s="946"/>
      <c r="L2" s="946"/>
      <c r="M2" s="946"/>
      <c r="N2" s="114"/>
    </row>
    <row r="3" spans="1:14" ht="24.6" x14ac:dyDescent="0.4">
      <c r="A3" s="890"/>
      <c r="B3" s="946" t="s">
        <v>632</v>
      </c>
      <c r="C3" s="946"/>
      <c r="D3" s="946"/>
      <c r="E3" s="946"/>
      <c r="F3" s="946"/>
      <c r="G3" s="946"/>
      <c r="H3" s="946"/>
      <c r="I3" s="946"/>
      <c r="J3" s="946"/>
      <c r="K3" s="946"/>
      <c r="L3" s="946"/>
      <c r="M3" s="946"/>
      <c r="N3" s="114"/>
    </row>
    <row r="4" spans="1:14" ht="6" customHeight="1" x14ac:dyDescent="0.25"/>
    <row r="5" spans="1:14" ht="16.2" x14ac:dyDescent="0.25">
      <c r="B5" s="944" t="s">
        <v>153</v>
      </c>
      <c r="C5" s="944"/>
      <c r="D5" s="944"/>
      <c r="E5" s="944"/>
      <c r="F5" s="944"/>
      <c r="G5" s="944"/>
      <c r="H5" s="944"/>
      <c r="I5" s="944"/>
      <c r="J5" s="944"/>
      <c r="K5" s="944"/>
      <c r="L5" s="944"/>
      <c r="M5" s="944"/>
    </row>
    <row r="6" spans="1:14" s="54" customFormat="1" ht="16.2" x14ac:dyDescent="0.25">
      <c r="B6" s="947" t="s">
        <v>154</v>
      </c>
      <c r="C6" s="947"/>
      <c r="D6" s="947"/>
      <c r="E6" s="947"/>
      <c r="F6" s="947"/>
      <c r="G6" s="947"/>
      <c r="H6" s="947"/>
      <c r="I6" s="947"/>
      <c r="J6" s="947"/>
      <c r="K6" s="947"/>
      <c r="L6" s="947"/>
      <c r="M6" s="947"/>
    </row>
    <row r="7" spans="1:14" s="54" customFormat="1" ht="15.6" x14ac:dyDescent="0.25">
      <c r="B7" s="945" t="s">
        <v>155</v>
      </c>
      <c r="C7" s="945"/>
      <c r="D7" s="945"/>
      <c r="E7" s="945"/>
      <c r="F7" s="945"/>
      <c r="G7" s="945"/>
      <c r="H7" s="945"/>
      <c r="I7" s="945"/>
      <c r="J7" s="945"/>
      <c r="K7" s="945"/>
      <c r="L7" s="945"/>
      <c r="M7" s="945"/>
    </row>
    <row r="8" spans="1:14" s="54" customFormat="1" ht="6" customHeight="1" x14ac:dyDescent="0.25">
      <c r="B8" s="942"/>
      <c r="C8" s="942"/>
      <c r="D8" s="942"/>
      <c r="E8" s="942"/>
      <c r="F8" s="942"/>
      <c r="G8" s="942"/>
      <c r="H8" s="942"/>
      <c r="I8" s="942"/>
      <c r="J8" s="942"/>
      <c r="K8" s="942"/>
      <c r="L8" s="942"/>
      <c r="M8" s="942"/>
    </row>
    <row r="9" spans="1:14" ht="28.2" x14ac:dyDescent="0.5">
      <c r="B9" s="943" t="s">
        <v>150</v>
      </c>
      <c r="C9" s="943"/>
      <c r="D9" s="943"/>
      <c r="E9" s="943"/>
      <c r="F9" s="943"/>
      <c r="G9" s="943"/>
      <c r="H9" s="943"/>
      <c r="I9" s="943"/>
      <c r="J9" s="943"/>
      <c r="K9" s="943"/>
      <c r="L9" s="943"/>
      <c r="M9" s="943"/>
    </row>
    <row r="10" spans="1:14" ht="5.25" customHeight="1" thickBot="1" x14ac:dyDescent="0.3">
      <c r="B10" s="115"/>
      <c r="C10" s="115"/>
      <c r="D10" s="115"/>
      <c r="E10" s="116"/>
      <c r="F10" s="115"/>
      <c r="G10" s="115"/>
      <c r="H10" s="115"/>
      <c r="I10" s="115"/>
      <c r="J10" s="115"/>
      <c r="K10" s="115"/>
      <c r="L10" s="115"/>
      <c r="M10" s="115"/>
    </row>
    <row r="11" spans="1:14" ht="14.4" thickTop="1" thickBot="1" x14ac:dyDescent="0.3"/>
    <row r="12" spans="1:14" ht="15.6" x14ac:dyDescent="0.25">
      <c r="B12" s="948" t="s">
        <v>151</v>
      </c>
      <c r="C12" s="949"/>
      <c r="D12" s="950"/>
      <c r="E12" s="117"/>
      <c r="F12" s="923" t="s">
        <v>525</v>
      </c>
      <c r="G12" s="923"/>
      <c r="H12" s="923"/>
      <c r="I12" s="923"/>
      <c r="J12" s="923"/>
      <c r="K12" s="923"/>
      <c r="L12" s="923"/>
      <c r="M12" s="923"/>
    </row>
    <row r="13" spans="1:14" ht="16.2" thickBot="1" x14ac:dyDescent="0.3">
      <c r="B13" s="951"/>
      <c r="C13" s="952"/>
      <c r="D13" s="953"/>
      <c r="E13" s="117"/>
      <c r="F13" s="923"/>
      <c r="G13" s="923"/>
      <c r="H13" s="923"/>
      <c r="I13" s="923"/>
      <c r="J13" s="923"/>
      <c r="K13" s="923"/>
      <c r="L13" s="923"/>
      <c r="M13" s="923"/>
    </row>
    <row r="14" spans="1:14" ht="13.8" thickBot="1" x14ac:dyDescent="0.3"/>
    <row r="15" spans="1:14" ht="15.75" customHeight="1" x14ac:dyDescent="0.25">
      <c r="B15" s="954" t="s">
        <v>152</v>
      </c>
      <c r="C15" s="955"/>
      <c r="D15" s="956"/>
      <c r="E15" s="118"/>
      <c r="F15" s="923" t="s">
        <v>418</v>
      </c>
      <c r="G15" s="923"/>
      <c r="H15" s="923"/>
      <c r="I15" s="923"/>
      <c r="J15" s="923"/>
      <c r="K15" s="923"/>
      <c r="L15" s="923"/>
      <c r="M15" s="923"/>
    </row>
    <row r="16" spans="1:14" ht="16.5" customHeight="1" thickBot="1" x14ac:dyDescent="0.3">
      <c r="B16" s="957"/>
      <c r="C16" s="958"/>
      <c r="D16" s="959"/>
      <c r="E16" s="118"/>
      <c r="F16" s="923"/>
      <c r="G16" s="923"/>
      <c r="H16" s="923"/>
      <c r="I16" s="923"/>
      <c r="J16" s="923"/>
      <c r="K16" s="923"/>
      <c r="L16" s="923"/>
      <c r="M16" s="923"/>
    </row>
    <row r="17" spans="2:13" ht="13.8" thickBot="1" x14ac:dyDescent="0.3"/>
    <row r="18" spans="2:13" ht="15.75" customHeight="1" x14ac:dyDescent="0.25">
      <c r="B18" s="936" t="s">
        <v>526</v>
      </c>
      <c r="C18" s="937"/>
      <c r="D18" s="938"/>
      <c r="E18" s="118"/>
      <c r="F18" s="923" t="s">
        <v>619</v>
      </c>
      <c r="G18" s="923"/>
      <c r="H18" s="923"/>
      <c r="I18" s="923"/>
      <c r="J18" s="923"/>
      <c r="K18" s="923"/>
      <c r="L18" s="923"/>
      <c r="M18" s="923"/>
    </row>
    <row r="19" spans="2:13" ht="16.5" customHeight="1" thickBot="1" x14ac:dyDescent="0.3">
      <c r="B19" s="939"/>
      <c r="C19" s="940"/>
      <c r="D19" s="941"/>
      <c r="E19" s="118"/>
      <c r="F19" s="923"/>
      <c r="G19" s="923"/>
      <c r="H19" s="923"/>
      <c r="I19" s="923"/>
      <c r="J19" s="923"/>
      <c r="K19" s="923"/>
      <c r="L19" s="923"/>
      <c r="M19" s="923"/>
    </row>
    <row r="20" spans="2:13" ht="13.8" thickBot="1" x14ac:dyDescent="0.3"/>
    <row r="21" spans="2:13" ht="15.75" customHeight="1" x14ac:dyDescent="0.25">
      <c r="B21" s="924" t="s">
        <v>518</v>
      </c>
      <c r="C21" s="925"/>
      <c r="D21" s="926"/>
      <c r="E21" s="118"/>
      <c r="F21" s="923" t="s">
        <v>620</v>
      </c>
      <c r="G21" s="923"/>
      <c r="H21" s="923"/>
      <c r="I21" s="923"/>
      <c r="J21" s="923"/>
      <c r="K21" s="923"/>
      <c r="L21" s="923"/>
      <c r="M21" s="923"/>
    </row>
    <row r="22" spans="2:13" ht="16.5" customHeight="1" thickBot="1" x14ac:dyDescent="0.3">
      <c r="B22" s="927"/>
      <c r="C22" s="928"/>
      <c r="D22" s="929"/>
      <c r="E22" s="118"/>
      <c r="F22" s="923"/>
      <c r="G22" s="923"/>
      <c r="H22" s="923"/>
      <c r="I22" s="923"/>
      <c r="J22" s="923"/>
      <c r="K22" s="923"/>
      <c r="L22" s="923"/>
      <c r="M22" s="923"/>
    </row>
    <row r="23" spans="2:13" ht="13.8" thickBot="1" x14ac:dyDescent="0.3"/>
    <row r="24" spans="2:13" ht="15.75" customHeight="1" x14ac:dyDescent="0.25">
      <c r="B24" s="924" t="s">
        <v>519</v>
      </c>
      <c r="C24" s="925"/>
      <c r="D24" s="926"/>
      <c r="E24" s="118"/>
      <c r="F24" s="923" t="s">
        <v>527</v>
      </c>
      <c r="G24" s="923"/>
      <c r="H24" s="923"/>
      <c r="I24" s="923"/>
      <c r="J24" s="923"/>
      <c r="K24" s="923"/>
      <c r="L24" s="923"/>
      <c r="M24" s="923"/>
    </row>
    <row r="25" spans="2:13" ht="16.5" customHeight="1" thickBot="1" x14ac:dyDescent="0.3">
      <c r="B25" s="927"/>
      <c r="C25" s="928"/>
      <c r="D25" s="929"/>
      <c r="E25" s="118"/>
      <c r="F25" s="923"/>
      <c r="G25" s="923"/>
      <c r="H25" s="923"/>
      <c r="I25" s="923"/>
      <c r="J25" s="923"/>
      <c r="K25" s="923"/>
      <c r="L25" s="923"/>
      <c r="M25" s="923"/>
    </row>
    <row r="26" spans="2:13" ht="13.8" thickBot="1" x14ac:dyDescent="0.3"/>
    <row r="27" spans="2:13" ht="15.75" customHeight="1" x14ac:dyDescent="0.25">
      <c r="B27" s="924" t="s">
        <v>520</v>
      </c>
      <c r="C27" s="925"/>
      <c r="D27" s="926"/>
      <c r="E27" s="118"/>
      <c r="F27" s="923" t="s">
        <v>409</v>
      </c>
      <c r="G27" s="923"/>
      <c r="H27" s="923"/>
      <c r="I27" s="923"/>
      <c r="J27" s="923"/>
      <c r="K27" s="923"/>
      <c r="L27" s="923"/>
      <c r="M27" s="923"/>
    </row>
    <row r="28" spans="2:13" ht="16.5" customHeight="1" thickBot="1" x14ac:dyDescent="0.3">
      <c r="B28" s="927"/>
      <c r="C28" s="928"/>
      <c r="D28" s="929"/>
      <c r="E28" s="118"/>
      <c r="F28" s="923"/>
      <c r="G28" s="923"/>
      <c r="H28" s="923"/>
      <c r="I28" s="923"/>
      <c r="J28" s="923"/>
      <c r="K28" s="923"/>
      <c r="L28" s="923"/>
      <c r="M28" s="923"/>
    </row>
    <row r="29" spans="2:13" ht="13.8" thickBot="1" x14ac:dyDescent="0.3"/>
    <row r="30" spans="2:13" ht="15.75" customHeight="1" x14ac:dyDescent="0.25">
      <c r="B30" s="924" t="s">
        <v>521</v>
      </c>
      <c r="C30" s="925"/>
      <c r="D30" s="926"/>
      <c r="E30" s="118"/>
      <c r="F30" s="923" t="s">
        <v>410</v>
      </c>
      <c r="G30" s="923"/>
      <c r="H30" s="923"/>
      <c r="I30" s="923"/>
      <c r="J30" s="923"/>
      <c r="K30" s="923"/>
      <c r="L30" s="923"/>
      <c r="M30" s="923"/>
    </row>
    <row r="31" spans="2:13" ht="16.5" customHeight="1" thickBot="1" x14ac:dyDescent="0.3">
      <c r="B31" s="927"/>
      <c r="C31" s="928"/>
      <c r="D31" s="929"/>
      <c r="E31" s="118"/>
      <c r="F31" s="923"/>
      <c r="G31" s="923"/>
      <c r="H31" s="923"/>
      <c r="I31" s="923"/>
      <c r="J31" s="923"/>
      <c r="K31" s="923"/>
      <c r="L31" s="923"/>
      <c r="M31" s="923"/>
    </row>
    <row r="32" spans="2:13" ht="13.8" thickBot="1" x14ac:dyDescent="0.3"/>
    <row r="33" spans="2:13" ht="15.6" x14ac:dyDescent="0.25">
      <c r="B33" s="930" t="s">
        <v>522</v>
      </c>
      <c r="C33" s="931"/>
      <c r="D33" s="932"/>
      <c r="E33" s="118"/>
      <c r="F33" s="923" t="s">
        <v>528</v>
      </c>
      <c r="G33" s="923"/>
      <c r="H33" s="923"/>
      <c r="I33" s="923"/>
      <c r="J33" s="923"/>
      <c r="K33" s="923"/>
      <c r="L33" s="923"/>
      <c r="M33" s="923"/>
    </row>
    <row r="34" spans="2:13" ht="16.2" thickBot="1" x14ac:dyDescent="0.3">
      <c r="B34" s="933"/>
      <c r="C34" s="934"/>
      <c r="D34" s="935"/>
      <c r="E34" s="118"/>
      <c r="F34" s="923"/>
      <c r="G34" s="923"/>
      <c r="H34" s="923"/>
      <c r="I34" s="923"/>
      <c r="J34" s="923"/>
      <c r="K34" s="923"/>
      <c r="L34" s="923"/>
      <c r="M34" s="923"/>
    </row>
    <row r="35" spans="2:13" ht="13.8" thickBot="1" x14ac:dyDescent="0.3"/>
    <row r="36" spans="2:13" ht="15.75" customHeight="1" x14ac:dyDescent="0.25">
      <c r="B36" s="930" t="s">
        <v>523</v>
      </c>
      <c r="C36" s="931"/>
      <c r="D36" s="932"/>
      <c r="E36" s="118"/>
      <c r="F36" s="923" t="s">
        <v>529</v>
      </c>
      <c r="G36" s="923"/>
      <c r="H36" s="923"/>
      <c r="I36" s="923"/>
      <c r="J36" s="923"/>
      <c r="K36" s="923"/>
      <c r="L36" s="923"/>
      <c r="M36" s="923"/>
    </row>
    <row r="37" spans="2:13" ht="16.5" customHeight="1" thickBot="1" x14ac:dyDescent="0.3">
      <c r="B37" s="933"/>
      <c r="C37" s="934"/>
      <c r="D37" s="935"/>
      <c r="E37" s="118"/>
      <c r="F37" s="923"/>
      <c r="G37" s="923"/>
      <c r="H37" s="923"/>
      <c r="I37" s="923"/>
      <c r="J37" s="923"/>
      <c r="K37" s="923"/>
      <c r="L37" s="923"/>
      <c r="M37" s="923"/>
    </row>
    <row r="38" spans="2:13" ht="13.8" thickBot="1" x14ac:dyDescent="0.3"/>
    <row r="39" spans="2:13" ht="15.75" customHeight="1" x14ac:dyDescent="0.25">
      <c r="B39" s="930" t="s">
        <v>524</v>
      </c>
      <c r="C39" s="931"/>
      <c r="D39" s="932"/>
      <c r="E39" s="118"/>
      <c r="F39" s="923" t="s">
        <v>530</v>
      </c>
      <c r="G39" s="923"/>
      <c r="H39" s="923"/>
      <c r="I39" s="923"/>
      <c r="J39" s="923"/>
      <c r="K39" s="923"/>
      <c r="L39" s="923"/>
      <c r="M39" s="923"/>
    </row>
    <row r="40" spans="2:13" ht="16.5" customHeight="1" thickBot="1" x14ac:dyDescent="0.3">
      <c r="B40" s="933"/>
      <c r="C40" s="934"/>
      <c r="D40" s="935"/>
      <c r="E40" s="118"/>
      <c r="F40" s="923"/>
      <c r="G40" s="923"/>
      <c r="H40" s="923"/>
      <c r="I40" s="923"/>
      <c r="J40" s="923"/>
      <c r="K40" s="923"/>
      <c r="L40" s="923"/>
      <c r="M40" s="923"/>
    </row>
  </sheetData>
  <mergeCells count="27">
    <mergeCell ref="B2:M2"/>
    <mergeCell ref="B3:M3"/>
    <mergeCell ref="B6:M6"/>
    <mergeCell ref="B12:D13"/>
    <mergeCell ref="B15:D16"/>
    <mergeCell ref="B18:D19"/>
    <mergeCell ref="B8:M8"/>
    <mergeCell ref="B9:M9"/>
    <mergeCell ref="F12:M13"/>
    <mergeCell ref="B5:M5"/>
    <mergeCell ref="B7:M7"/>
    <mergeCell ref="F15:M16"/>
    <mergeCell ref="F18:M19"/>
    <mergeCell ref="F27:M28"/>
    <mergeCell ref="F30:M31"/>
    <mergeCell ref="F21:M22"/>
    <mergeCell ref="B21:D22"/>
    <mergeCell ref="F39:M40"/>
    <mergeCell ref="F24:M25"/>
    <mergeCell ref="F33:M34"/>
    <mergeCell ref="F36:M37"/>
    <mergeCell ref="B27:D28"/>
    <mergeCell ref="B24:D25"/>
    <mergeCell ref="B33:D34"/>
    <mergeCell ref="B36:D37"/>
    <mergeCell ref="B30:D31"/>
    <mergeCell ref="B39:D40"/>
  </mergeCells>
  <hyperlinks>
    <hyperlink ref="B12:D13" location="INTRODUCTION!A1" display="INTRODUCTION"/>
    <hyperlink ref="B15:D16" location="'GETTING STARTED'!A1" display="GETTING STARTED / INSTRUCTONS"/>
    <hyperlink ref="B18:D19" location="Timeline!A1" display="TIMELINE"/>
    <hyperlink ref="B21:D22" location="CASE_COUNTS!A1" display="1.1 CASE COUNTS"/>
    <hyperlink ref="B24:D25" location="INCUBATION!A1" display="1.2 INCUBATION PERIOD SETTINGS"/>
    <hyperlink ref="B27:D28" location="PEP_Decisions!A1" display="2. DECISIONS: PEP"/>
    <hyperlink ref="B30:D31" location="IMPACT_ON_HLTHCARE!A1" display="3. HEALTHCARE IMPACT"/>
    <hyperlink ref="B33:D34" location="'Epi-Curve Model'!A1" display="EVENT SIZE AND TIME CALCULATIONS"/>
    <hyperlink ref="B36:D37" location="'PEP Impact Model'!A1" display="PEP IMPACT CALCULATIONS"/>
    <hyperlink ref="B39:D40" location="Healthcare_Model!A1" display="HEALTHCARE CALCULATIONS"/>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99"/>
  </sheetPr>
  <dimension ref="A1:AB56"/>
  <sheetViews>
    <sheetView showGridLines="0" showRowColHeaders="0" zoomScale="110" zoomScaleNormal="110" workbookViewId="0"/>
  </sheetViews>
  <sheetFormatPr defaultRowHeight="13.2" x14ac:dyDescent="0.25"/>
  <cols>
    <col min="1" max="1" width="1.5546875" style="459" customWidth="1"/>
    <col min="2" max="2" width="6.44140625" style="17" customWidth="1"/>
    <col min="3" max="3" width="12.6640625" style="58" customWidth="1"/>
    <col min="4" max="4" width="12.5546875" style="17" customWidth="1"/>
    <col min="5" max="5" width="13.5546875" style="17" customWidth="1"/>
    <col min="6" max="6" width="12.5546875" style="17" customWidth="1"/>
    <col min="7" max="7" width="1.6640625" style="17" customWidth="1"/>
    <col min="8" max="8" width="11.44140625" style="17" customWidth="1"/>
    <col min="9" max="9" width="12.44140625" style="17" customWidth="1"/>
    <col min="10" max="10" width="2" style="17" customWidth="1"/>
    <col min="11" max="11" width="0.6640625" style="17" customWidth="1"/>
    <col min="12" max="12" width="16.88671875" customWidth="1"/>
    <col min="13" max="13" width="11.88671875" customWidth="1"/>
    <col min="14" max="14" width="7.6640625" customWidth="1"/>
    <col min="15" max="15" width="1" customWidth="1"/>
    <col min="16" max="16" width="20.109375" customWidth="1"/>
    <col min="17" max="17" width="10.5546875" customWidth="1"/>
    <col min="18" max="26" width="10.88671875" customWidth="1"/>
    <col min="27" max="27" width="11.33203125" customWidth="1"/>
    <col min="28" max="30" width="10.88671875" customWidth="1"/>
    <col min="31" max="239" width="37.5546875" customWidth="1"/>
  </cols>
  <sheetData>
    <row r="1" spans="1:28" ht="12.75" customHeight="1" thickBot="1" x14ac:dyDescent="0.3">
      <c r="A1" s="457"/>
      <c r="B1" s="16"/>
      <c r="C1" s="57"/>
      <c r="D1" s="16"/>
      <c r="E1" s="16"/>
      <c r="F1" s="16"/>
      <c r="G1" s="16"/>
      <c r="H1" s="16"/>
      <c r="I1" s="16"/>
      <c r="J1" s="16"/>
      <c r="K1" s="356"/>
    </row>
    <row r="2" spans="1:28" ht="14.25" customHeight="1" thickBot="1" x14ac:dyDescent="0.3">
      <c r="A2" s="457"/>
      <c r="B2" s="503"/>
      <c r="C2" s="1195" t="s">
        <v>121</v>
      </c>
      <c r="D2" s="1112" t="s">
        <v>158</v>
      </c>
      <c r="E2" s="1209" t="s">
        <v>502</v>
      </c>
      <c r="F2" s="1198" t="s">
        <v>510</v>
      </c>
      <c r="G2" s="1203" t="s">
        <v>511</v>
      </c>
      <c r="H2" s="1204"/>
      <c r="K2" s="503"/>
      <c r="L2" s="803"/>
      <c r="M2" s="804" t="str">
        <f>Healthcare_Model!G12</f>
        <v>Deaths, NO PEP Campaign</v>
      </c>
      <c r="N2" s="805" t="e">
        <f ca="1">Healthcare_Model!H12</f>
        <v>#N/A</v>
      </c>
      <c r="O2" s="257"/>
      <c r="P2" s="1201" t="str">
        <f>Healthcare_Model!I12</f>
        <v>Without PEP Campaign</v>
      </c>
      <c r="Q2" s="1202"/>
    </row>
    <row r="3" spans="1:28" ht="14.25" customHeight="1" x14ac:dyDescent="0.25">
      <c r="A3" s="457"/>
      <c r="B3" s="515"/>
      <c r="C3" s="1196"/>
      <c r="D3" s="1113"/>
      <c r="E3" s="1210"/>
      <c r="F3" s="1199"/>
      <c r="G3" s="1205"/>
      <c r="H3" s="1206"/>
      <c r="K3" s="515"/>
      <c r="L3" s="806"/>
      <c r="M3" s="807" t="str">
        <f>Healthcare_Model!G13</f>
        <v>Deaths, WITH PEP Campaign</v>
      </c>
      <c r="N3" s="808" t="e">
        <f>IF(Healthcare_Model!H13=0,NA(),Healthcare_Model!H13)</f>
        <v>#N/A</v>
      </c>
      <c r="O3" s="257"/>
      <c r="P3" s="814" t="str">
        <f>Healthcare_Model!I13</f>
        <v>Total Hospitalizations</v>
      </c>
      <c r="Q3" s="808" t="e">
        <f ca="1">Healthcare_Model!J13</f>
        <v>#N/A</v>
      </c>
    </row>
    <row r="4" spans="1:28" ht="14.25" customHeight="1" thickBot="1" x14ac:dyDescent="0.3">
      <c r="A4" s="457"/>
      <c r="B4" s="515"/>
      <c r="C4" s="1197"/>
      <c r="D4" s="1114"/>
      <c r="E4" s="1211"/>
      <c r="F4" s="1200"/>
      <c r="G4" s="1207"/>
      <c r="H4" s="1208"/>
      <c r="K4" s="515"/>
      <c r="L4" s="806"/>
      <c r="M4" s="809" t="str">
        <f>Healthcare_Model!G14</f>
        <v>PEP averted deaths</v>
      </c>
      <c r="N4" s="810">
        <f>Healthcare_Model!H14</f>
        <v>0</v>
      </c>
      <c r="O4" s="559"/>
      <c r="P4" s="814" t="str">
        <f>Healthcare_Model!I14</f>
        <v>Treatment Load Peak</v>
      </c>
      <c r="Q4" s="815" t="e">
        <f ca="1">Healthcare_Model!J14</f>
        <v>#N/A</v>
      </c>
    </row>
    <row r="5" spans="1:28" ht="12.75" customHeight="1" thickBot="1" x14ac:dyDescent="0.3">
      <c r="E5" s="613"/>
      <c r="L5" s="811"/>
      <c r="M5" s="812" t="str">
        <f>Healthcare_Model!G15</f>
        <v>% of deaths prevented by PEP</v>
      </c>
      <c r="N5" s="813" t="e">
        <f ca="1">Healthcare_Model!H15</f>
        <v>#N/A</v>
      </c>
      <c r="O5" s="552"/>
      <c r="P5" s="816" t="str">
        <f>Healthcare_Model!I15</f>
        <v>Peak Bed Demand</v>
      </c>
      <c r="Q5" s="817" t="e">
        <f ca="1">Healthcare_Model!J15</f>
        <v>#N/A</v>
      </c>
      <c r="AA5" s="165"/>
      <c r="AB5" s="56"/>
    </row>
    <row r="6" spans="1:28" ht="3.75" customHeight="1" thickBot="1" x14ac:dyDescent="0.3">
      <c r="E6" s="548"/>
      <c r="L6" s="257"/>
      <c r="M6" s="551"/>
      <c r="N6" s="552"/>
      <c r="O6" s="552"/>
      <c r="P6" s="553"/>
      <c r="Q6" s="257"/>
      <c r="AA6" s="165"/>
      <c r="AB6" s="56"/>
    </row>
    <row r="7" spans="1:28" ht="16.5" customHeight="1" thickBot="1" x14ac:dyDescent="0.3">
      <c r="B7" s="795" t="s">
        <v>512</v>
      </c>
      <c r="C7" s="796"/>
      <c r="D7" s="796"/>
      <c r="E7" s="797"/>
      <c r="F7" s="797"/>
      <c r="G7" s="797"/>
      <c r="H7" s="797"/>
      <c r="I7" s="797"/>
      <c r="J7" s="798"/>
      <c r="K7"/>
      <c r="AA7" s="45">
        <f>'Epi-Curve Model'!B57</f>
        <v>0</v>
      </c>
      <c r="AB7" s="46">
        <v>0</v>
      </c>
    </row>
    <row r="8" spans="1:28" ht="12.75" customHeight="1" x14ac:dyDescent="0.25">
      <c r="B8" s="1115" t="s">
        <v>369</v>
      </c>
      <c r="C8" s="1116"/>
      <c r="D8" s="1116"/>
      <c r="E8" s="1116"/>
      <c r="F8" s="1116"/>
      <c r="G8" s="1116"/>
      <c r="H8" s="1116"/>
      <c r="I8" s="1116"/>
      <c r="J8" s="1117"/>
      <c r="K8"/>
      <c r="AA8" s="45">
        <f>AA7+1</f>
        <v>1</v>
      </c>
      <c r="AB8" s="46">
        <v>0.16666666666666699</v>
      </c>
    </row>
    <row r="9" spans="1:28" ht="14.25" customHeight="1" x14ac:dyDescent="0.25">
      <c r="B9" s="1118"/>
      <c r="C9" s="1119"/>
      <c r="D9" s="1119"/>
      <c r="E9" s="1119"/>
      <c r="F9" s="1119"/>
      <c r="G9" s="1119"/>
      <c r="H9" s="1119"/>
      <c r="I9" s="1119"/>
      <c r="J9" s="1120"/>
      <c r="K9"/>
      <c r="L9" s="248"/>
      <c r="M9" s="17"/>
      <c r="N9" s="17"/>
      <c r="O9" s="17"/>
      <c r="P9" s="17"/>
      <c r="AA9" s="45">
        <f t="shared" ref="AA9:AA30" si="0">AA8+1</f>
        <v>2</v>
      </c>
      <c r="AB9" s="46">
        <v>0.33333333333333298</v>
      </c>
    </row>
    <row r="10" spans="1:28" ht="12.75" customHeight="1" x14ac:dyDescent="0.25">
      <c r="B10" s="504"/>
      <c r="C10" s="505"/>
      <c r="D10" s="505"/>
      <c r="E10" s="505"/>
      <c r="F10" s="507" t="s">
        <v>120</v>
      </c>
      <c r="G10" s="505"/>
      <c r="H10" s="1212" t="s">
        <v>371</v>
      </c>
      <c r="I10" s="1213"/>
      <c r="J10" s="506"/>
      <c r="K10"/>
      <c r="L10" s="17"/>
      <c r="M10" s="17"/>
      <c r="N10" s="17"/>
      <c r="O10" s="17"/>
      <c r="P10" s="17"/>
      <c r="AA10" s="45">
        <f t="shared" si="0"/>
        <v>3</v>
      </c>
      <c r="AB10" s="46">
        <v>0.5</v>
      </c>
    </row>
    <row r="11" spans="1:28" ht="14.4" x14ac:dyDescent="0.3">
      <c r="B11" s="485" t="s">
        <v>513</v>
      </c>
      <c r="C11" s="1218" t="s">
        <v>445</v>
      </c>
      <c r="D11" s="1218"/>
      <c r="E11" s="1219"/>
      <c r="F11" s="150"/>
      <c r="G11" s="60"/>
      <c r="H11" s="546" t="e">
        <f>IF(SUM(CASE_COUNTS!C208:E208)=0,NA(),'Epi-Curve Model'!B59)</f>
        <v>#N/A</v>
      </c>
      <c r="I11" s="547" t="s">
        <v>373</v>
      </c>
      <c r="J11" s="70"/>
      <c r="K11"/>
      <c r="L11" s="248"/>
      <c r="M11" s="17"/>
      <c r="N11" s="17"/>
      <c r="O11" s="17"/>
      <c r="P11" s="17"/>
      <c r="AA11" s="45">
        <f t="shared" si="0"/>
        <v>4</v>
      </c>
      <c r="AB11" s="46">
        <v>0.66666666666666696</v>
      </c>
    </row>
    <row r="12" spans="1:28" ht="6.75" customHeight="1" x14ac:dyDescent="0.3">
      <c r="B12" s="485"/>
      <c r="C12" s="582"/>
      <c r="D12" s="582"/>
      <c r="E12" s="582"/>
      <c r="F12" s="511"/>
      <c r="G12" s="60"/>
      <c r="H12" s="594"/>
      <c r="I12" s="595"/>
      <c r="J12" s="70"/>
      <c r="K12"/>
      <c r="L12" s="17"/>
      <c r="M12" s="17"/>
      <c r="N12" s="17"/>
      <c r="O12" s="17"/>
      <c r="P12" s="17"/>
      <c r="AA12" s="45">
        <f t="shared" si="0"/>
        <v>5</v>
      </c>
      <c r="AB12" s="46">
        <v>0.83333333333333404</v>
      </c>
    </row>
    <row r="13" spans="1:28" ht="14.25" customHeight="1" x14ac:dyDescent="0.25">
      <c r="B13" s="1220" t="s">
        <v>553</v>
      </c>
      <c r="C13" s="1221"/>
      <c r="D13" s="1221"/>
      <c r="E13" s="1221"/>
      <c r="F13" s="1221"/>
      <c r="G13" s="1221"/>
      <c r="H13" s="1221"/>
      <c r="I13" s="1221"/>
      <c r="J13" s="1222"/>
      <c r="K13"/>
      <c r="AA13" s="45">
        <f t="shared" si="0"/>
        <v>6</v>
      </c>
      <c r="AB13" s="556"/>
    </row>
    <row r="14" spans="1:28" ht="12" customHeight="1" x14ac:dyDescent="0.3">
      <c r="B14" s="485"/>
      <c r="C14" s="508"/>
      <c r="D14" s="509"/>
      <c r="E14" s="509"/>
      <c r="F14" s="511"/>
      <c r="G14" s="60"/>
      <c r="H14" s="60"/>
      <c r="I14" s="60"/>
      <c r="J14" s="70"/>
      <c r="K14"/>
      <c r="AA14" s="45">
        <f t="shared" si="0"/>
        <v>7</v>
      </c>
      <c r="AB14" s="46"/>
    </row>
    <row r="15" spans="1:28" ht="14.4" x14ac:dyDescent="0.3">
      <c r="B15" s="487" t="s">
        <v>514</v>
      </c>
      <c r="C15" s="517" t="s">
        <v>446</v>
      </c>
      <c r="D15" s="509"/>
      <c r="E15" s="509"/>
      <c r="F15" s="511"/>
      <c r="G15" s="60"/>
      <c r="H15" s="60"/>
      <c r="I15" s="60"/>
      <c r="J15" s="70"/>
      <c r="K15"/>
      <c r="AA15" s="45">
        <f t="shared" si="0"/>
        <v>8</v>
      </c>
      <c r="AB15" s="46"/>
    </row>
    <row r="16" spans="1:28" x14ac:dyDescent="0.25">
      <c r="A16" s="77"/>
      <c r="B16" s="297"/>
      <c r="C16" s="518"/>
      <c r="D16" s="513"/>
      <c r="E16" s="1214" t="s">
        <v>447</v>
      </c>
      <c r="F16" s="1215"/>
      <c r="G16" s="266"/>
      <c r="H16" s="1216" t="s">
        <v>448</v>
      </c>
      <c r="I16" s="1217"/>
      <c r="J16" s="174"/>
      <c r="K16"/>
      <c r="AA16" s="45">
        <f t="shared" si="0"/>
        <v>9</v>
      </c>
      <c r="AB16" s="46"/>
    </row>
    <row r="17" spans="1:28" x14ac:dyDescent="0.25">
      <c r="A17" s="77"/>
      <c r="B17" s="62"/>
      <c r="C17" s="512"/>
      <c r="D17" s="513"/>
      <c r="E17" s="294" t="s">
        <v>120</v>
      </c>
      <c r="F17" s="295" t="s">
        <v>372</v>
      </c>
      <c r="G17" s="293"/>
      <c r="H17" s="294" t="s">
        <v>120</v>
      </c>
      <c r="I17" s="295" t="s">
        <v>372</v>
      </c>
      <c r="J17" s="174"/>
      <c r="K17"/>
      <c r="AA17" s="45">
        <f t="shared" si="0"/>
        <v>10</v>
      </c>
      <c r="AB17" s="46"/>
    </row>
    <row r="18" spans="1:28" ht="14.4" x14ac:dyDescent="0.3">
      <c r="A18" s="77"/>
      <c r="B18" s="62"/>
      <c r="C18" s="171"/>
      <c r="D18" s="875" t="s">
        <v>226</v>
      </c>
      <c r="E18" s="300">
        <v>0.4</v>
      </c>
      <c r="F18" s="301">
        <v>0.4</v>
      </c>
      <c r="G18" s="292"/>
      <c r="H18" s="300">
        <v>0.8</v>
      </c>
      <c r="I18" s="301">
        <v>0.8</v>
      </c>
      <c r="J18" s="174"/>
      <c r="K18"/>
      <c r="AA18" s="45">
        <f t="shared" si="0"/>
        <v>11</v>
      </c>
      <c r="AB18" s="46"/>
    </row>
    <row r="19" spans="1:28" ht="14.4" x14ac:dyDescent="0.3">
      <c r="A19" s="77"/>
      <c r="B19" s="297"/>
      <c r="C19" s="171"/>
      <c r="D19" s="875" t="s">
        <v>370</v>
      </c>
      <c r="E19" s="300">
        <v>0.95</v>
      </c>
      <c r="F19" s="301">
        <v>0.95</v>
      </c>
      <c r="G19" s="292"/>
      <c r="H19" s="300">
        <v>0.95</v>
      </c>
      <c r="I19" s="301">
        <v>0.95</v>
      </c>
      <c r="J19" s="514"/>
      <c r="AA19" s="45">
        <f t="shared" si="0"/>
        <v>12</v>
      </c>
      <c r="AB19" s="46"/>
    </row>
    <row r="20" spans="1:28" ht="13.8" thickBot="1" x14ac:dyDescent="0.3">
      <c r="A20" s="77"/>
      <c r="B20" s="64"/>
      <c r="C20" s="65"/>
      <c r="D20" s="65"/>
      <c r="E20" s="66"/>
      <c r="F20" s="66"/>
      <c r="G20" s="66"/>
      <c r="H20" s="66"/>
      <c r="I20" s="66"/>
      <c r="J20" s="67"/>
      <c r="K20" s="130"/>
      <c r="AA20" s="45">
        <f t="shared" si="0"/>
        <v>13</v>
      </c>
      <c r="AB20" s="46"/>
    </row>
    <row r="21" spans="1:28" ht="8.25" customHeight="1" thickBot="1" x14ac:dyDescent="0.3">
      <c r="A21" s="77"/>
      <c r="K21" s="502"/>
      <c r="AA21" s="45">
        <f t="shared" si="0"/>
        <v>14</v>
      </c>
      <c r="AB21" s="46"/>
    </row>
    <row r="22" spans="1:28" ht="16.5" customHeight="1" thickBot="1" x14ac:dyDescent="0.3">
      <c r="B22" s="795" t="s">
        <v>515</v>
      </c>
      <c r="C22" s="796"/>
      <c r="D22" s="796"/>
      <c r="E22" s="797"/>
      <c r="F22" s="797"/>
      <c r="G22" s="797"/>
      <c r="H22" s="797"/>
      <c r="I22" s="797"/>
      <c r="J22" s="798"/>
      <c r="K22"/>
      <c r="AA22" s="45">
        <f t="shared" si="0"/>
        <v>15</v>
      </c>
      <c r="AB22" s="46"/>
    </row>
    <row r="23" spans="1:28" ht="16.5" customHeight="1" x14ac:dyDescent="0.25">
      <c r="A23" s="77"/>
      <c r="B23" s="1115" t="s">
        <v>374</v>
      </c>
      <c r="C23" s="1116"/>
      <c r="D23" s="1116"/>
      <c r="E23" s="1116"/>
      <c r="F23" s="1116"/>
      <c r="G23" s="1116"/>
      <c r="H23" s="1116"/>
      <c r="I23" s="1116"/>
      <c r="J23" s="1117"/>
      <c r="K23" s="502"/>
      <c r="AA23" s="45">
        <f t="shared" si="0"/>
        <v>16</v>
      </c>
      <c r="AB23" s="46"/>
    </row>
    <row r="24" spans="1:28" ht="9.75" customHeight="1" x14ac:dyDescent="0.25">
      <c r="A24" s="77"/>
      <c r="B24" s="1118"/>
      <c r="C24" s="1119"/>
      <c r="D24" s="1119"/>
      <c r="E24" s="1119"/>
      <c r="F24" s="1119"/>
      <c r="G24" s="1119"/>
      <c r="H24" s="1119"/>
      <c r="I24" s="1119"/>
      <c r="J24" s="1120"/>
      <c r="K24" s="172"/>
      <c r="AA24" s="45">
        <f t="shared" si="0"/>
        <v>17</v>
      </c>
      <c r="AB24" s="46"/>
    </row>
    <row r="25" spans="1:28" x14ac:dyDescent="0.25">
      <c r="A25" s="77"/>
      <c r="B25" s="865"/>
      <c r="C25" s="866"/>
      <c r="D25" s="866"/>
      <c r="E25" s="866"/>
      <c r="F25" s="866"/>
      <c r="G25" s="866"/>
      <c r="H25" s="866"/>
      <c r="I25" s="866"/>
      <c r="J25" s="867"/>
      <c r="K25" s="172"/>
      <c r="AA25" s="45">
        <f t="shared" si="0"/>
        <v>18</v>
      </c>
      <c r="AB25" s="46"/>
    </row>
    <row r="26" spans="1:28" ht="13.8" thickBot="1" x14ac:dyDescent="0.3">
      <c r="A26" s="77"/>
      <c r="B26" s="869" t="s">
        <v>516</v>
      </c>
      <c r="C26" s="1188" t="s">
        <v>555</v>
      </c>
      <c r="D26" s="1188"/>
      <c r="E26" s="1188"/>
      <c r="F26" s="1188"/>
      <c r="G26" s="1188"/>
      <c r="H26" s="868"/>
      <c r="I26" s="868"/>
      <c r="J26" s="174"/>
      <c r="K26" s="172"/>
      <c r="AA26" s="45">
        <f t="shared" si="0"/>
        <v>19</v>
      </c>
      <c r="AB26" s="46"/>
    </row>
    <row r="27" spans="1:28" ht="13.5" customHeight="1" x14ac:dyDescent="0.25">
      <c r="A27" s="77"/>
      <c r="B27" s="869"/>
      <c r="C27" s="524"/>
      <c r="D27" s="524"/>
      <c r="E27" s="293" t="s">
        <v>120</v>
      </c>
      <c r="F27" s="266" t="s">
        <v>556</v>
      </c>
      <c r="G27" s="296"/>
      <c r="H27" s="172"/>
      <c r="I27" s="1191" t="s">
        <v>388</v>
      </c>
      <c r="J27" s="525"/>
      <c r="K27" s="172"/>
      <c r="AA27" s="45">
        <f t="shared" si="0"/>
        <v>20</v>
      </c>
      <c r="AB27" s="46"/>
    </row>
    <row r="28" spans="1:28" ht="15.75" customHeight="1" x14ac:dyDescent="0.3">
      <c r="A28" s="77"/>
      <c r="B28" s="516"/>
      <c r="C28" s="173"/>
      <c r="D28" s="876" t="s">
        <v>571</v>
      </c>
      <c r="E28" s="300">
        <v>0.8</v>
      </c>
      <c r="F28" s="521">
        <v>0.8</v>
      </c>
      <c r="G28" s="522"/>
      <c r="H28" s="172"/>
      <c r="I28" s="1192"/>
      <c r="J28" s="525"/>
      <c r="K28" s="172"/>
      <c r="AA28" s="45">
        <f t="shared" si="0"/>
        <v>21</v>
      </c>
      <c r="AB28" s="46"/>
    </row>
    <row r="29" spans="1:28" ht="15.75" customHeight="1" thickBot="1" x14ac:dyDescent="0.35">
      <c r="A29" s="77"/>
      <c r="B29" s="297"/>
      <c r="C29" s="173"/>
      <c r="D29" s="876" t="s">
        <v>572</v>
      </c>
      <c r="E29" s="300">
        <v>0.2</v>
      </c>
      <c r="F29" s="521">
        <v>0.2</v>
      </c>
      <c r="G29" s="523"/>
      <c r="H29" s="172"/>
      <c r="I29" s="1193"/>
      <c r="J29" s="174"/>
      <c r="K29" s="172"/>
      <c r="AA29" s="45">
        <f t="shared" si="0"/>
        <v>22</v>
      </c>
      <c r="AB29" s="46"/>
    </row>
    <row r="30" spans="1:28" ht="15.75" customHeight="1" x14ac:dyDescent="0.25">
      <c r="A30" s="77"/>
      <c r="B30" s="869"/>
      <c r="C30" s="518"/>
      <c r="D30" s="172"/>
      <c r="E30" s="172"/>
      <c r="F30" s="172"/>
      <c r="G30" s="172"/>
      <c r="H30" s="172"/>
      <c r="I30" s="172"/>
      <c r="J30" s="174"/>
      <c r="K30" s="172"/>
      <c r="AA30" s="45">
        <f t="shared" si="0"/>
        <v>23</v>
      </c>
      <c r="AB30" s="46"/>
    </row>
    <row r="31" spans="1:28" ht="15.75" customHeight="1" x14ac:dyDescent="0.25">
      <c r="A31" s="77"/>
      <c r="B31" s="869" t="s">
        <v>517</v>
      </c>
      <c r="C31" s="1194" t="s">
        <v>570</v>
      </c>
      <c r="D31" s="1194"/>
      <c r="E31" s="266" t="s">
        <v>120</v>
      </c>
      <c r="F31" s="266" t="s">
        <v>352</v>
      </c>
      <c r="G31" s="172"/>
      <c r="H31" s="172"/>
      <c r="I31" s="172"/>
      <c r="J31" s="174"/>
      <c r="K31" s="172"/>
      <c r="AA31" s="45"/>
      <c r="AB31" s="46"/>
    </row>
    <row r="32" spans="1:28" ht="14.4" x14ac:dyDescent="0.3">
      <c r="B32" s="297"/>
      <c r="C32" s="1194"/>
      <c r="D32" s="1194"/>
      <c r="E32" s="300">
        <v>0.5</v>
      </c>
      <c r="F32" s="521">
        <v>0.5</v>
      </c>
      <c r="G32" s="172"/>
      <c r="H32" s="172"/>
      <c r="I32" s="172"/>
      <c r="J32" s="174"/>
      <c r="K32"/>
      <c r="AA32" s="45"/>
      <c r="AB32" s="46"/>
    </row>
    <row r="33" spans="1:28" ht="15.75" customHeight="1" x14ac:dyDescent="0.25">
      <c r="B33" s="297"/>
      <c r="C33" s="1189" t="s">
        <v>587</v>
      </c>
      <c r="D33" s="1189"/>
      <c r="E33" s="1189"/>
      <c r="F33" s="1189"/>
      <c r="G33" s="1189"/>
      <c r="H33" s="1189"/>
      <c r="I33" s="1189"/>
      <c r="J33" s="174"/>
      <c r="K33"/>
      <c r="AA33" s="45"/>
      <c r="AB33" s="46"/>
    </row>
    <row r="34" spans="1:28" ht="15.75" customHeight="1" x14ac:dyDescent="0.25">
      <c r="B34" s="297"/>
      <c r="C34" s="1189"/>
      <c r="D34" s="1189"/>
      <c r="E34" s="1189"/>
      <c r="F34" s="1189"/>
      <c r="G34" s="1189"/>
      <c r="H34" s="1189"/>
      <c r="I34" s="1189"/>
      <c r="J34" s="197"/>
    </row>
    <row r="35" spans="1:28" ht="15" customHeight="1" x14ac:dyDescent="0.25">
      <c r="B35" s="297"/>
      <c r="C35" s="1189"/>
      <c r="D35" s="1189"/>
      <c r="E35" s="1189"/>
      <c r="F35" s="1189"/>
      <c r="G35" s="1189"/>
      <c r="H35" s="1189"/>
      <c r="I35" s="1189"/>
      <c r="J35" s="197"/>
    </row>
    <row r="36" spans="1:28" ht="2.25" customHeight="1" thickBot="1" x14ac:dyDescent="0.3">
      <c r="B36" s="175"/>
      <c r="C36" s="874"/>
      <c r="D36" s="874"/>
      <c r="E36" s="874"/>
      <c r="F36" s="874"/>
      <c r="G36" s="874"/>
      <c r="H36" s="874"/>
      <c r="I36" s="874"/>
      <c r="J36" s="233"/>
    </row>
    <row r="37" spans="1:28" x14ac:dyDescent="0.25">
      <c r="I37"/>
      <c r="J37"/>
    </row>
    <row r="38" spans="1:28" ht="12.75" customHeight="1" x14ac:dyDescent="0.25">
      <c r="A38" s="456" t="s">
        <v>351</v>
      </c>
      <c r="B38" s="1190" t="s">
        <v>554</v>
      </c>
      <c r="C38" s="1190"/>
      <c r="D38" s="1190"/>
      <c r="E38" s="1190"/>
      <c r="F38" s="1190"/>
      <c r="G38" s="1190"/>
      <c r="H38" s="1190"/>
      <c r="I38" s="1190"/>
      <c r="J38" s="1190"/>
      <c r="K38" s="1190"/>
      <c r="L38" s="1190"/>
      <c r="M38" s="1190"/>
      <c r="N38" s="1190"/>
      <c r="O38" s="1190"/>
      <c r="P38" s="1190"/>
      <c r="Q38" s="1190"/>
    </row>
    <row r="39" spans="1:28" ht="14.25" customHeight="1" x14ac:dyDescent="0.25">
      <c r="B39" s="1190"/>
      <c r="C39" s="1190"/>
      <c r="D39" s="1190"/>
      <c r="E39" s="1190"/>
      <c r="F39" s="1190"/>
      <c r="G39" s="1190"/>
      <c r="H39" s="1190"/>
      <c r="I39" s="1190"/>
      <c r="J39" s="1190"/>
      <c r="K39" s="1190"/>
      <c r="L39" s="1190"/>
      <c r="M39" s="1190"/>
      <c r="N39" s="1190"/>
      <c r="O39" s="1190"/>
      <c r="P39" s="1190"/>
      <c r="Q39" s="1190"/>
    </row>
    <row r="40" spans="1:28" ht="6" customHeight="1" x14ac:dyDescent="0.25">
      <c r="B40" s="793"/>
      <c r="C40" s="793"/>
      <c r="D40" s="793"/>
      <c r="E40" s="793"/>
      <c r="F40" s="793"/>
      <c r="G40" s="793"/>
      <c r="H40" s="793"/>
      <c r="I40" s="793"/>
      <c r="J40" s="793"/>
      <c r="K40" s="793"/>
      <c r="L40" s="793"/>
      <c r="M40" s="793"/>
      <c r="N40" s="793"/>
      <c r="O40" s="793"/>
      <c r="P40" s="793"/>
      <c r="Q40" s="793"/>
    </row>
    <row r="41" spans="1:28" ht="14.25" customHeight="1" x14ac:dyDescent="0.25">
      <c r="A41" s="459" t="s">
        <v>353</v>
      </c>
      <c r="B41" s="1124" t="s">
        <v>589</v>
      </c>
      <c r="C41" s="1124"/>
      <c r="D41" s="1124"/>
      <c r="E41" s="1124"/>
      <c r="F41" s="1124"/>
      <c r="G41" s="1124"/>
      <c r="H41" s="1124"/>
      <c r="I41" s="1124"/>
      <c r="J41" s="1124"/>
      <c r="K41" s="1124"/>
      <c r="L41" s="1124"/>
      <c r="M41" s="1124"/>
      <c r="N41" s="1124"/>
      <c r="O41" s="1124"/>
      <c r="P41" s="1124"/>
      <c r="Q41" s="1124"/>
    </row>
    <row r="42" spans="1:28" ht="12.75" customHeight="1" x14ac:dyDescent="0.25">
      <c r="B42" s="1124"/>
      <c r="C42" s="1124"/>
      <c r="D42" s="1124"/>
      <c r="E42" s="1124"/>
      <c r="F42" s="1124"/>
      <c r="G42" s="1124"/>
      <c r="H42" s="1124"/>
      <c r="I42" s="1124"/>
      <c r="J42" s="1124"/>
      <c r="K42" s="1124"/>
      <c r="L42" s="1124"/>
      <c r="M42" s="1124"/>
      <c r="N42" s="1124"/>
      <c r="O42" s="1124"/>
      <c r="P42" s="1124"/>
      <c r="Q42" s="1124"/>
    </row>
    <row r="43" spans="1:28" x14ac:dyDescent="0.25">
      <c r="B43" s="1124"/>
      <c r="C43" s="1124"/>
      <c r="D43" s="1124"/>
      <c r="E43" s="1124"/>
      <c r="F43" s="1124"/>
      <c r="G43" s="1124"/>
      <c r="H43" s="1124"/>
      <c r="I43" s="1124"/>
      <c r="J43" s="1124"/>
      <c r="K43" s="1124"/>
      <c r="L43" s="1124"/>
      <c r="M43" s="1124"/>
      <c r="N43" s="1124"/>
      <c r="O43" s="1124"/>
      <c r="P43" s="1124"/>
      <c r="Q43" s="1124"/>
    </row>
    <row r="44" spans="1:28" ht="33.75" customHeight="1" x14ac:dyDescent="0.25">
      <c r="B44" s="1124"/>
      <c r="C44" s="1124"/>
      <c r="D44" s="1124"/>
      <c r="E44" s="1124"/>
      <c r="F44" s="1124"/>
      <c r="G44" s="1124"/>
      <c r="H44" s="1124"/>
      <c r="I44" s="1124"/>
      <c r="J44" s="1124"/>
      <c r="K44" s="1124"/>
      <c r="L44" s="1124"/>
      <c r="M44" s="1124"/>
      <c r="N44" s="1124"/>
      <c r="O44" s="1124"/>
      <c r="P44" s="1124"/>
      <c r="Q44" s="1124"/>
    </row>
    <row r="45" spans="1:28" ht="20.399999999999999" customHeight="1" x14ac:dyDescent="0.25">
      <c r="B45" s="1124"/>
      <c r="C45" s="1124"/>
      <c r="D45" s="1124"/>
      <c r="E45" s="1124"/>
      <c r="F45" s="1124"/>
      <c r="G45" s="1124"/>
      <c r="H45" s="1124"/>
      <c r="I45" s="1124"/>
      <c r="J45" s="1124"/>
      <c r="K45" s="1124"/>
      <c r="L45" s="1124"/>
      <c r="M45" s="1124"/>
      <c r="N45" s="1124"/>
      <c r="O45" s="1124"/>
      <c r="P45" s="1124"/>
      <c r="Q45" s="1124"/>
    </row>
    <row r="46" spans="1:28" ht="7.5" customHeight="1" x14ac:dyDescent="0.25"/>
    <row r="47" spans="1:28" ht="10.5" customHeight="1" x14ac:dyDescent="0.25">
      <c r="A47" s="456" t="s">
        <v>354</v>
      </c>
      <c r="B47" s="1124" t="s">
        <v>573</v>
      </c>
      <c r="C47" s="1124"/>
      <c r="D47" s="1124"/>
      <c r="E47" s="1124"/>
      <c r="F47" s="1124"/>
      <c r="G47" s="1124"/>
      <c r="H47" s="1124"/>
      <c r="I47" s="1124"/>
      <c r="J47" s="1124"/>
      <c r="K47" s="1124"/>
      <c r="L47" s="1124"/>
      <c r="M47" s="1124"/>
      <c r="N47" s="1124"/>
      <c r="O47" s="1124"/>
      <c r="P47" s="1124"/>
      <c r="Q47" s="1124"/>
    </row>
    <row r="48" spans="1:28" ht="12.75" customHeight="1" x14ac:dyDescent="0.25">
      <c r="B48" s="1124"/>
      <c r="C48" s="1124"/>
      <c r="D48" s="1124"/>
      <c r="E48" s="1124"/>
      <c r="F48" s="1124"/>
      <c r="G48" s="1124"/>
      <c r="H48" s="1124"/>
      <c r="I48" s="1124"/>
      <c r="J48" s="1124"/>
      <c r="K48" s="1124"/>
      <c r="L48" s="1124"/>
      <c r="M48" s="1124"/>
      <c r="N48" s="1124"/>
      <c r="O48" s="1124"/>
      <c r="P48" s="1124"/>
      <c r="Q48" s="1124"/>
    </row>
    <row r="49" spans="1:17" x14ac:dyDescent="0.25">
      <c r="B49" s="1124"/>
      <c r="C49" s="1124"/>
      <c r="D49" s="1124"/>
      <c r="E49" s="1124"/>
      <c r="F49" s="1124"/>
      <c r="G49" s="1124"/>
      <c r="H49" s="1124"/>
      <c r="I49" s="1124"/>
      <c r="J49" s="1124"/>
      <c r="K49" s="1124"/>
      <c r="L49" s="1124"/>
      <c r="M49" s="1124"/>
      <c r="N49" s="1124"/>
      <c r="O49" s="1124"/>
      <c r="P49" s="1124"/>
      <c r="Q49" s="1124"/>
    </row>
    <row r="50" spans="1:17" x14ac:dyDescent="0.25">
      <c r="B50" s="1124"/>
      <c r="C50" s="1124"/>
      <c r="D50" s="1124"/>
      <c r="E50" s="1124"/>
      <c r="F50" s="1124"/>
      <c r="G50" s="1124"/>
      <c r="H50" s="1124"/>
      <c r="I50" s="1124"/>
      <c r="J50" s="1124"/>
      <c r="K50" s="1124"/>
      <c r="L50" s="1124"/>
      <c r="M50" s="1124"/>
      <c r="N50" s="1124"/>
      <c r="O50" s="1124"/>
      <c r="P50" s="1124"/>
      <c r="Q50" s="1124"/>
    </row>
    <row r="51" spans="1:17" x14ac:dyDescent="0.25">
      <c r="A51" s="77"/>
      <c r="B51" s="1124"/>
      <c r="C51" s="1124"/>
      <c r="D51" s="1124"/>
      <c r="E51" s="1124"/>
      <c r="F51" s="1124"/>
      <c r="G51" s="1124"/>
      <c r="H51" s="1124"/>
      <c r="I51" s="1124"/>
      <c r="J51" s="1124"/>
      <c r="K51" s="1124"/>
      <c r="L51" s="1124"/>
      <c r="M51" s="1124"/>
      <c r="N51" s="1124"/>
      <c r="O51" s="1124"/>
      <c r="P51" s="1124"/>
      <c r="Q51" s="1124"/>
    </row>
    <row r="52" spans="1:17" x14ac:dyDescent="0.25">
      <c r="B52" s="1124"/>
      <c r="C52" s="1124"/>
      <c r="D52" s="1124"/>
      <c r="E52" s="1124"/>
      <c r="F52" s="1124"/>
      <c r="G52" s="1124"/>
      <c r="H52" s="1124"/>
      <c r="I52" s="1124"/>
      <c r="J52" s="1124"/>
      <c r="K52" s="1124"/>
      <c r="L52" s="1124"/>
      <c r="M52" s="1124"/>
      <c r="N52" s="1124"/>
      <c r="O52" s="1124"/>
      <c r="P52" s="1124"/>
      <c r="Q52" s="1124"/>
    </row>
    <row r="53" spans="1:17" x14ac:dyDescent="0.25">
      <c r="B53" s="1124"/>
      <c r="C53" s="1124"/>
      <c r="D53" s="1124"/>
      <c r="E53" s="1124"/>
      <c r="F53" s="1124"/>
      <c r="G53" s="1124"/>
      <c r="H53" s="1124"/>
      <c r="I53" s="1124"/>
      <c r="J53" s="1124"/>
      <c r="K53" s="1124"/>
      <c r="L53" s="1124"/>
      <c r="M53" s="1124"/>
      <c r="N53" s="1124"/>
      <c r="O53" s="1124"/>
      <c r="P53" s="1124"/>
      <c r="Q53" s="1124"/>
    </row>
    <row r="54" spans="1:17" ht="22.5" customHeight="1" x14ac:dyDescent="0.25">
      <c r="B54" s="1124"/>
      <c r="C54" s="1124"/>
      <c r="D54" s="1124"/>
      <c r="E54" s="1124"/>
      <c r="F54" s="1124"/>
      <c r="G54" s="1124"/>
      <c r="H54" s="1124"/>
      <c r="I54" s="1124"/>
      <c r="J54" s="1124"/>
      <c r="K54" s="1124"/>
      <c r="L54" s="1124"/>
      <c r="M54" s="1124"/>
      <c r="N54" s="1124"/>
      <c r="O54" s="1124"/>
      <c r="P54" s="1124"/>
      <c r="Q54" s="1124"/>
    </row>
    <row r="55" spans="1:17" x14ac:dyDescent="0.25">
      <c r="B55" s="858"/>
      <c r="C55" s="858"/>
      <c r="D55" s="858"/>
      <c r="E55" s="858"/>
      <c r="F55" s="858"/>
      <c r="G55" s="858"/>
      <c r="H55" s="858"/>
      <c r="I55" s="858"/>
      <c r="J55" s="858"/>
      <c r="K55" s="858"/>
      <c r="L55" s="858"/>
      <c r="M55" s="858"/>
      <c r="N55" s="858"/>
      <c r="O55" s="858"/>
      <c r="P55" s="858"/>
      <c r="Q55" s="858"/>
    </row>
    <row r="56" spans="1:17" x14ac:dyDescent="0.25">
      <c r="B56" s="858"/>
      <c r="C56" s="858"/>
      <c r="D56" s="858"/>
      <c r="E56" s="858"/>
      <c r="F56" s="858"/>
      <c r="G56" s="858"/>
      <c r="H56" s="858"/>
      <c r="I56" s="858"/>
      <c r="J56" s="858"/>
      <c r="K56" s="858"/>
      <c r="L56" s="858"/>
      <c r="M56" s="858"/>
      <c r="N56" s="858"/>
      <c r="O56" s="858"/>
      <c r="P56" s="858"/>
      <c r="Q56" s="858"/>
    </row>
  </sheetData>
  <dataConsolidate/>
  <mergeCells count="20">
    <mergeCell ref="B8:J9"/>
    <mergeCell ref="H10:I10"/>
    <mergeCell ref="B23:J24"/>
    <mergeCell ref="E16:F16"/>
    <mergeCell ref="H16:I16"/>
    <mergeCell ref="C11:E11"/>
    <mergeCell ref="B13:J13"/>
    <mergeCell ref="C2:C4"/>
    <mergeCell ref="D2:D4"/>
    <mergeCell ref="F2:F4"/>
    <mergeCell ref="P2:Q2"/>
    <mergeCell ref="G2:H4"/>
    <mergeCell ref="E2:E4"/>
    <mergeCell ref="C26:G26"/>
    <mergeCell ref="C33:I35"/>
    <mergeCell ref="B41:Q45"/>
    <mergeCell ref="B38:Q39"/>
    <mergeCell ref="B47:Q54"/>
    <mergeCell ref="I27:I29"/>
    <mergeCell ref="C31:D32"/>
  </mergeCells>
  <conditionalFormatting sqref="I37:J37 K28:K33 B32:B33 C29 J34:J36">
    <cfRule type="expression" dxfId="8" priority="7">
      <formula>#REF!="Yes"</formula>
    </cfRule>
  </conditionalFormatting>
  <conditionalFormatting sqref="K28 B32 C29">
    <cfRule type="expression" dxfId="7" priority="55">
      <formula>#REF!="yes"</formula>
    </cfRule>
  </conditionalFormatting>
  <conditionalFormatting sqref="B32">
    <cfRule type="expression" dxfId="6" priority="57">
      <formula>#REF!="yes"</formula>
    </cfRule>
  </conditionalFormatting>
  <dataValidations count="2">
    <dataValidation type="decimal" showInputMessage="1" showErrorMessage="1" sqref="E18">
      <formula1>0</formula1>
      <formula2>100</formula2>
    </dataValidation>
    <dataValidation type="list" allowBlank="1" showInputMessage="1" showErrorMessage="1" errorTitle="Entry Required" error="You must make a selection" sqref="F11">
      <formula1>$AA$7:$AA$16</formula1>
    </dataValidation>
  </dataValidations>
  <hyperlinks>
    <hyperlink ref="C2" location="'TABLE OF CONTENTS'!A1" display="Table of Contents"/>
    <hyperlink ref="D2" location="Timeline!A1" display="Timeline"/>
    <hyperlink ref="F2" location="PEP_Decisions!A1" display="PEP Decisions"/>
    <hyperlink ref="G2" location="PEP_Decisions!A1" display="PEP Decisions"/>
    <hyperlink ref="I27:I29" location="Healthcare_Model!A1" display="View Healthcare Model"/>
    <hyperlink ref="F2:F4" location="INCUBATION!A1" display="Step 1.2: Incubation Period Settings"/>
    <hyperlink ref="G2:G4" location="PEP_Decisions!A1" display="Step 2: PEP Decisions"/>
    <hyperlink ref="E2:E4" location="CASE_COUNTS!A1" display="CASE_COUNTS!A1"/>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79998168889431442"/>
  </sheetPr>
  <dimension ref="B1:CY604"/>
  <sheetViews>
    <sheetView zoomScaleNormal="100" workbookViewId="0"/>
  </sheetViews>
  <sheetFormatPr defaultColWidth="9.109375" defaultRowHeight="13.2" x14ac:dyDescent="0.25"/>
  <cols>
    <col min="1" max="1" width="3.6640625" style="94" customWidth="1"/>
    <col min="2" max="2" width="25.88671875" style="94" customWidth="1"/>
    <col min="3" max="3" width="19" style="94" customWidth="1"/>
    <col min="4" max="4" width="25.5546875" style="94" customWidth="1"/>
    <col min="5" max="5" width="26.88671875" style="94" customWidth="1"/>
    <col min="6" max="7" width="13" style="94" customWidth="1"/>
    <col min="8" max="8" width="11.88671875" style="94" customWidth="1"/>
    <col min="9" max="9" width="12.109375" style="101" customWidth="1"/>
    <col min="10" max="10" width="10.88671875" style="94" customWidth="1"/>
    <col min="11" max="11" width="12.88671875" style="96" customWidth="1"/>
    <col min="12" max="12" width="13.88671875" style="94" customWidth="1"/>
    <col min="13" max="13" width="19.5546875" style="94" customWidth="1"/>
    <col min="14" max="14" width="20" style="94" customWidth="1"/>
    <col min="15" max="15" width="17.109375" style="96" customWidth="1"/>
    <col min="16" max="19" width="12.88671875" style="96" customWidth="1"/>
    <col min="20" max="20" width="15.33203125" style="96" customWidth="1"/>
    <col min="21" max="21" width="13.33203125" style="96" customWidth="1"/>
    <col min="22" max="25" width="12.88671875" style="96" customWidth="1"/>
    <col min="26" max="26" width="16.44140625" style="96" customWidth="1"/>
    <col min="27" max="27" width="22.88671875" style="96" customWidth="1"/>
    <col min="28" max="31" width="12.88671875" style="96" customWidth="1"/>
    <col min="32" max="32" width="16.44140625" style="96" customWidth="1"/>
    <col min="33" max="43" width="12.88671875" style="96" customWidth="1"/>
    <col min="44" max="44" width="19.109375" style="96" customWidth="1"/>
    <col min="45" max="50" width="12.88671875" style="96" customWidth="1"/>
    <col min="51" max="51" width="24" style="94" customWidth="1"/>
    <col min="52" max="52" width="21.88671875" style="94" customWidth="1"/>
    <col min="53" max="53" width="49.33203125" style="94" customWidth="1"/>
    <col min="54" max="54" width="9.109375" style="94"/>
    <col min="55" max="55" width="12" style="94" customWidth="1"/>
    <col min="56" max="57" width="10.33203125" style="94" bestFit="1" customWidth="1"/>
    <col min="58" max="58" width="9.109375" style="94"/>
    <col min="59" max="60" width="10.6640625" style="94" customWidth="1"/>
    <col min="61" max="61" width="28.44140625" style="94" customWidth="1"/>
    <col min="62" max="62" width="20.33203125" style="94" customWidth="1"/>
    <col min="63" max="63" width="22.109375" style="94" customWidth="1"/>
    <col min="64" max="64" width="5" style="94" customWidth="1"/>
    <col min="65" max="80" width="9.109375" style="94"/>
    <col min="81" max="81" width="14.44140625" style="105" customWidth="1"/>
    <col min="82" max="83" width="11.33203125" style="78" customWidth="1"/>
    <col min="84" max="84" width="11.33203125" customWidth="1"/>
    <col min="85" max="85" width="11.33203125" style="78" customWidth="1"/>
    <col min="86" max="86" width="8.109375" style="77" customWidth="1"/>
    <col min="87" max="87" width="18.44140625" style="104" customWidth="1"/>
    <col min="88" max="88" width="9.109375" style="94"/>
    <col min="89" max="89" width="25.109375" style="94" bestFit="1" customWidth="1"/>
    <col min="90" max="90" width="22.6640625" style="94" customWidth="1"/>
    <col min="91" max="91" width="52.44140625" style="94" bestFit="1" customWidth="1"/>
    <col min="92" max="92" width="6.44140625" style="94" customWidth="1"/>
    <col min="93" max="93" width="14.5546875" style="94" customWidth="1"/>
    <col min="94" max="96" width="17" style="94" customWidth="1"/>
    <col min="97" max="97" width="22.88671875" style="94" customWidth="1"/>
    <col min="98" max="98" width="16" style="94" customWidth="1"/>
    <col min="99" max="99" width="24.44140625" style="94" customWidth="1"/>
    <col min="100" max="100" width="15.44140625" style="94" customWidth="1"/>
    <col min="101" max="16384" width="9.109375" style="94"/>
  </cols>
  <sheetData>
    <row r="1" spans="2:53" ht="13.8" thickBot="1" x14ac:dyDescent="0.3"/>
    <row r="2" spans="2:53" ht="16.5" customHeight="1" x14ac:dyDescent="0.3">
      <c r="B2" s="1224" t="s">
        <v>489</v>
      </c>
      <c r="C2" s="1225"/>
      <c r="D2" s="1225"/>
      <c r="E2" s="1225"/>
      <c r="F2" s="1225"/>
      <c r="G2" s="1225"/>
      <c r="H2" s="1225"/>
      <c r="I2" s="1226"/>
      <c r="J2" s="705"/>
      <c r="K2" s="710" t="s">
        <v>491</v>
      </c>
      <c r="L2" s="671"/>
      <c r="M2" s="653"/>
      <c r="N2" s="654"/>
      <c r="O2" s="654"/>
      <c r="P2" s="655"/>
    </row>
    <row r="3" spans="2:53" ht="12.75" customHeight="1" x14ac:dyDescent="0.25">
      <c r="B3" s="1227"/>
      <c r="C3" s="1228"/>
      <c r="D3" s="1228"/>
      <c r="E3" s="1228"/>
      <c r="F3" s="1228"/>
      <c r="G3" s="1228"/>
      <c r="H3" s="1228"/>
      <c r="I3" s="1229"/>
      <c r="J3" s="705"/>
      <c r="K3" s="1261" t="s">
        <v>468</v>
      </c>
      <c r="L3" s="1246"/>
      <c r="M3" s="1246"/>
      <c r="N3" s="1246"/>
      <c r="O3" s="1246"/>
      <c r="P3" s="1262"/>
      <c r="BA3" s="694"/>
    </row>
    <row r="4" spans="2:53" ht="23.25" customHeight="1" x14ac:dyDescent="0.25">
      <c r="B4" s="1227"/>
      <c r="C4" s="1228"/>
      <c r="D4" s="1228"/>
      <c r="E4" s="1228"/>
      <c r="F4" s="1228"/>
      <c r="G4" s="1228"/>
      <c r="H4" s="1228"/>
      <c r="I4" s="1229"/>
      <c r="J4" s="705"/>
      <c r="K4" s="1261"/>
      <c r="L4" s="1246"/>
      <c r="M4" s="1246"/>
      <c r="N4" s="1246"/>
      <c r="O4" s="1246"/>
      <c r="P4" s="1262"/>
    </row>
    <row r="5" spans="2:53" ht="15.75" customHeight="1" x14ac:dyDescent="0.25">
      <c r="B5" s="1227"/>
      <c r="C5" s="1228"/>
      <c r="D5" s="1228"/>
      <c r="E5" s="1228"/>
      <c r="F5" s="1228"/>
      <c r="G5" s="1228"/>
      <c r="H5" s="1228"/>
      <c r="I5" s="1229"/>
      <c r="K5" s="1261"/>
      <c r="L5" s="1246"/>
      <c r="M5" s="1246"/>
      <c r="N5" s="1246"/>
      <c r="O5" s="1246"/>
      <c r="P5" s="1262"/>
    </row>
    <row r="6" spans="2:53" ht="15.75" customHeight="1" thickBot="1" x14ac:dyDescent="0.3">
      <c r="B6" s="1230"/>
      <c r="C6" s="1231"/>
      <c r="D6" s="1231"/>
      <c r="E6" s="1231"/>
      <c r="F6" s="1231"/>
      <c r="G6" s="1231"/>
      <c r="H6" s="1231"/>
      <c r="I6" s="1232"/>
      <c r="K6" s="252"/>
      <c r="L6" s="99"/>
      <c r="M6" s="663" t="s">
        <v>488</v>
      </c>
      <c r="N6" s="663" t="s">
        <v>452</v>
      </c>
      <c r="O6" s="663" t="s">
        <v>453</v>
      </c>
      <c r="P6" s="656"/>
    </row>
    <row r="7" spans="2:53" ht="15.75" customHeight="1" x14ac:dyDescent="0.25">
      <c r="B7" s="705"/>
      <c r="C7" s="705"/>
      <c r="D7" s="705"/>
      <c r="E7" s="705"/>
      <c r="F7" s="705"/>
      <c r="G7" s="705"/>
      <c r="H7" s="705"/>
      <c r="I7" s="705"/>
      <c r="K7" s="673"/>
      <c r="L7" s="685" t="s">
        <v>455</v>
      </c>
      <c r="M7" s="680">
        <v>500</v>
      </c>
      <c r="N7" s="676">
        <f>LOOKUP($M7,$M$13:$M$31,$N$13:$N$31)</f>
        <v>8.89</v>
      </c>
      <c r="O7" s="677">
        <f>LOOKUP($M7,$M$13:$M$31,$O$13:$O$31)</f>
        <v>1.9193757443089139</v>
      </c>
      <c r="P7" s="656"/>
    </row>
    <row r="8" spans="2:53" ht="15.75" customHeight="1" thickBot="1" x14ac:dyDescent="0.3">
      <c r="K8" s="673"/>
      <c r="L8" s="685" t="s">
        <v>456</v>
      </c>
      <c r="M8" s="680">
        <v>10000</v>
      </c>
      <c r="N8" s="676">
        <f>LOOKUP($M8,$M$13:$M$31,$N$13:$N$31)</f>
        <v>7.25</v>
      </c>
      <c r="O8" s="677">
        <f>LOOKUP($M8,$M$13:$M$31,$O$13:$O$31)</f>
        <v>1.8889101074258496</v>
      </c>
      <c r="P8" s="656"/>
    </row>
    <row r="9" spans="2:53" ht="15.75" customHeight="1" x14ac:dyDescent="0.25">
      <c r="B9" s="1070" t="s">
        <v>121</v>
      </c>
      <c r="C9" s="1112" t="s">
        <v>158</v>
      </c>
      <c r="D9" s="1103" t="s">
        <v>502</v>
      </c>
      <c r="E9" s="1243" t="s">
        <v>499</v>
      </c>
      <c r="F9" s="1248" t="s">
        <v>501</v>
      </c>
      <c r="G9" s="1251" t="s">
        <v>504</v>
      </c>
      <c r="H9" s="1252"/>
      <c r="K9" s="673"/>
      <c r="L9" s="685" t="s">
        <v>457</v>
      </c>
      <c r="M9" s="680">
        <v>2</v>
      </c>
      <c r="N9" s="676">
        <f>LOOKUP($M9,$M$13:$M$31,$N$13:$N$31)</f>
        <v>9.67</v>
      </c>
      <c r="O9" s="677">
        <f>LOOKUP($M9,$M$13:$M$31,$O$13:$O$31)</f>
        <v>1.8552139011414011</v>
      </c>
      <c r="P9" s="656"/>
    </row>
    <row r="10" spans="2:53" ht="15.75" customHeight="1" x14ac:dyDescent="0.25">
      <c r="B10" s="1111"/>
      <c r="C10" s="1113"/>
      <c r="D10" s="1104"/>
      <c r="E10" s="1244"/>
      <c r="F10" s="1249"/>
      <c r="G10" s="1253"/>
      <c r="H10" s="1254"/>
      <c r="K10" s="673"/>
      <c r="L10" s="681"/>
      <c r="M10" s="684"/>
      <c r="N10" s="682"/>
      <c r="O10" s="683"/>
      <c r="P10" s="656"/>
    </row>
    <row r="11" spans="2:53" ht="15.75" customHeight="1" thickBot="1" x14ac:dyDescent="0.3">
      <c r="B11" s="1071"/>
      <c r="C11" s="1114"/>
      <c r="D11" s="1105"/>
      <c r="E11" s="1245"/>
      <c r="F11" s="1250"/>
      <c r="G11" s="1255"/>
      <c r="H11" s="1256"/>
      <c r="K11" s="1233" t="s">
        <v>494</v>
      </c>
      <c r="L11" s="1234"/>
      <c r="M11" s="1234"/>
      <c r="N11" s="1234"/>
      <c r="O11" s="1234"/>
      <c r="P11" s="1235"/>
    </row>
    <row r="12" spans="2:53" ht="15.75" customHeight="1" thickBot="1" x14ac:dyDescent="0.3">
      <c r="K12" s="252"/>
      <c r="L12" s="99"/>
      <c r="M12" s="675" t="s">
        <v>487</v>
      </c>
      <c r="N12" s="664" t="s">
        <v>254</v>
      </c>
      <c r="O12" s="674" t="s">
        <v>458</v>
      </c>
      <c r="P12" s="656"/>
    </row>
    <row r="13" spans="2:53" ht="18.75" customHeight="1" x14ac:dyDescent="0.25">
      <c r="B13" s="1263" t="s">
        <v>490</v>
      </c>
      <c r="C13" s="654" t="s">
        <v>595</v>
      </c>
      <c r="D13" s="654"/>
      <c r="E13" s="654"/>
      <c r="F13" s="654"/>
      <c r="G13" s="654"/>
      <c r="H13" s="654"/>
      <c r="I13" s="655"/>
      <c r="K13" s="252"/>
      <c r="L13" s="678"/>
      <c r="M13" s="698">
        <v>1</v>
      </c>
      <c r="N13" s="699">
        <v>9.76</v>
      </c>
      <c r="O13" s="700">
        <v>1.8478078674788694</v>
      </c>
      <c r="P13" s="656"/>
    </row>
    <row r="14" spans="2:53" ht="15.75" customHeight="1" x14ac:dyDescent="0.25">
      <c r="B14" s="1264"/>
      <c r="C14" s="99"/>
      <c r="D14" s="99"/>
      <c r="E14" s="99"/>
      <c r="F14" s="99"/>
      <c r="G14" s="99"/>
      <c r="H14" s="99"/>
      <c r="I14" s="656"/>
      <c r="K14" s="252"/>
      <c r="L14" s="678" t="s">
        <v>454</v>
      </c>
      <c r="M14" s="695">
        <v>2</v>
      </c>
      <c r="N14" s="696">
        <v>9.67</v>
      </c>
      <c r="O14" s="697">
        <v>1.8552139011414011</v>
      </c>
      <c r="P14" s="656"/>
    </row>
    <row r="15" spans="2:53" ht="19.5" customHeight="1" x14ac:dyDescent="0.25">
      <c r="B15" s="252"/>
      <c r="C15" s="1257" t="s">
        <v>472</v>
      </c>
      <c r="D15" s="1258" t="s">
        <v>473</v>
      </c>
      <c r="E15" s="1259"/>
      <c r="F15" s="99"/>
      <c r="G15" s="1260" t="s">
        <v>470</v>
      </c>
      <c r="H15" s="1260" t="s">
        <v>482</v>
      </c>
      <c r="I15" s="1223" t="s">
        <v>483</v>
      </c>
      <c r="K15" s="252"/>
      <c r="L15" s="99"/>
      <c r="M15" s="665">
        <v>5</v>
      </c>
      <c r="N15" s="652">
        <v>9.5500000000000007</v>
      </c>
      <c r="O15" s="686">
        <v>1.8645131995195232</v>
      </c>
      <c r="P15" s="656"/>
    </row>
    <row r="16" spans="2:53" ht="15.75" customHeight="1" x14ac:dyDescent="0.3">
      <c r="B16" s="252"/>
      <c r="C16" s="1257"/>
      <c r="D16" s="1258"/>
      <c r="E16" s="1259"/>
      <c r="F16" s="895" t="s">
        <v>260</v>
      </c>
      <c r="G16" s="1260"/>
      <c r="H16" s="1260"/>
      <c r="I16" s="1223"/>
      <c r="K16" s="252"/>
      <c r="L16" s="99"/>
      <c r="M16" s="665">
        <v>10</v>
      </c>
      <c r="N16" s="652">
        <v>9.4600000000000009</v>
      </c>
      <c r="O16" s="686">
        <v>1.8719861883312423</v>
      </c>
      <c r="P16" s="656"/>
    </row>
    <row r="17" spans="2:16" ht="15.75" customHeight="1" x14ac:dyDescent="0.25">
      <c r="B17" s="711" t="s">
        <v>480</v>
      </c>
      <c r="C17" s="712" t="s">
        <v>254</v>
      </c>
      <c r="D17" s="713" t="s">
        <v>211</v>
      </c>
      <c r="E17" s="713"/>
      <c r="F17" s="714" t="s">
        <v>469</v>
      </c>
      <c r="G17" s="740">
        <f>ROUND(G19+(G20*LOG(G23,10)),2)</f>
        <v>6.85</v>
      </c>
      <c r="H17" s="740">
        <f>(ROUND(H19+(H20*LOG(H23,10)),2))</f>
        <v>5.03</v>
      </c>
      <c r="I17" s="741">
        <f>ROUND(I19+(I20*LOG(I23,10)),2)</f>
        <v>10.3</v>
      </c>
      <c r="K17" s="657"/>
      <c r="L17" s="672"/>
      <c r="M17" s="665">
        <v>20</v>
      </c>
      <c r="N17" s="652">
        <v>9.3699999999999992</v>
      </c>
      <c r="O17" s="686">
        <v>1.8813695581487633</v>
      </c>
      <c r="P17" s="656"/>
    </row>
    <row r="18" spans="2:16" ht="32.25" customHeight="1" x14ac:dyDescent="0.25">
      <c r="B18" s="706" t="s">
        <v>481</v>
      </c>
      <c r="C18" s="273" t="s">
        <v>471</v>
      </c>
      <c r="D18" s="273" t="s">
        <v>225</v>
      </c>
      <c r="E18" s="273"/>
      <c r="F18" s="413" t="s">
        <v>469</v>
      </c>
      <c r="G18" s="742">
        <f>ROUND(EXP(G21+(G22*(LOG10(G23)))),2)</f>
        <v>1.83</v>
      </c>
      <c r="H18" s="742">
        <f>ROUND(EXP(H21+(H22*(LOG10(H23)))),2)</f>
        <v>1.64</v>
      </c>
      <c r="I18" s="743">
        <f>ROUND(EXP(I21+(I22*(LOG10(I23)))),2)</f>
        <v>2.23</v>
      </c>
      <c r="K18" s="252"/>
      <c r="L18" s="99"/>
      <c r="M18" s="665">
        <v>50</v>
      </c>
      <c r="N18" s="652">
        <v>9.25</v>
      </c>
      <c r="O18" s="686">
        <v>1.8926917079807226</v>
      </c>
      <c r="P18" s="656"/>
    </row>
    <row r="19" spans="2:16" ht="15.75" customHeight="1" x14ac:dyDescent="0.25">
      <c r="B19" s="312" t="s">
        <v>205</v>
      </c>
      <c r="C19" s="264" t="s">
        <v>206</v>
      </c>
      <c r="D19" s="149" t="s">
        <v>474</v>
      </c>
      <c r="E19" s="149"/>
      <c r="F19" s="717">
        <v>1.4</v>
      </c>
      <c r="G19" s="717">
        <v>10.3</v>
      </c>
      <c r="H19" s="717">
        <v>10.3</v>
      </c>
      <c r="I19" s="718">
        <v>10.3</v>
      </c>
      <c r="K19" s="252"/>
      <c r="L19" s="99"/>
      <c r="M19" s="665">
        <v>100</v>
      </c>
      <c r="N19" s="652">
        <v>9.15</v>
      </c>
      <c r="O19" s="686">
        <v>1.9002776365552259</v>
      </c>
      <c r="P19" s="656"/>
    </row>
    <row r="20" spans="2:16" ht="15.75" customHeight="1" x14ac:dyDescent="0.25">
      <c r="B20" s="312"/>
      <c r="C20" s="264" t="s">
        <v>207</v>
      </c>
      <c r="D20" s="75" t="s">
        <v>476</v>
      </c>
      <c r="E20" s="75"/>
      <c r="F20" s="717">
        <v>0.25</v>
      </c>
      <c r="G20" s="717">
        <v>-1.35</v>
      </c>
      <c r="H20" s="717">
        <v>-1.35</v>
      </c>
      <c r="I20" s="718">
        <v>-1.35</v>
      </c>
      <c r="K20" s="252"/>
      <c r="L20" s="99"/>
      <c r="M20" s="665">
        <v>200</v>
      </c>
      <c r="N20" s="652">
        <v>9.0500000000000007</v>
      </c>
      <c r="O20" s="686">
        <v>1.9078939696124533</v>
      </c>
      <c r="P20" s="656"/>
    </row>
    <row r="21" spans="2:16" ht="15.75" customHeight="1" x14ac:dyDescent="0.25">
      <c r="B21" s="312"/>
      <c r="C21" s="264" t="s">
        <v>208</v>
      </c>
      <c r="D21" s="149" t="s">
        <v>475</v>
      </c>
      <c r="E21" s="149"/>
      <c r="F21" s="717">
        <v>0.56000000000000005</v>
      </c>
      <c r="G21" s="717">
        <v>0.80400000000000005</v>
      </c>
      <c r="H21" s="717">
        <v>0.80400000000000005</v>
      </c>
      <c r="I21" s="718">
        <v>0.80400000000000005</v>
      </c>
      <c r="K21" s="252"/>
      <c r="L21" s="678" t="s">
        <v>451</v>
      </c>
      <c r="M21" s="670">
        <v>500</v>
      </c>
      <c r="N21" s="669">
        <v>8.89</v>
      </c>
      <c r="O21" s="687">
        <v>1.9193757443089139</v>
      </c>
      <c r="P21" s="658"/>
    </row>
    <row r="22" spans="2:16" ht="15.75" customHeight="1" x14ac:dyDescent="0.25">
      <c r="B22" s="312"/>
      <c r="C22" s="264" t="s">
        <v>209</v>
      </c>
      <c r="D22" s="75" t="s">
        <v>477</v>
      </c>
      <c r="E22" s="75"/>
      <c r="F22" s="717">
        <v>0.11</v>
      </c>
      <c r="G22" s="717">
        <v>-7.9000000000000001E-2</v>
      </c>
      <c r="H22" s="717">
        <v>-7.9000000000000001E-2</v>
      </c>
      <c r="I22" s="718">
        <v>-7.9000000000000001E-2</v>
      </c>
      <c r="K22" s="659"/>
      <c r="L22" s="97"/>
      <c r="M22" s="665">
        <v>1000</v>
      </c>
      <c r="N22" s="652">
        <v>8.73</v>
      </c>
      <c r="O22" s="688">
        <v>1.9251425173763628</v>
      </c>
      <c r="P22" s="658"/>
    </row>
    <row r="23" spans="2:16" ht="15.75" customHeight="1" x14ac:dyDescent="0.3">
      <c r="B23" s="715" t="s">
        <v>210</v>
      </c>
      <c r="C23" s="716" t="s">
        <v>212</v>
      </c>
      <c r="D23" s="723" t="s">
        <v>484</v>
      </c>
      <c r="E23" s="716"/>
      <c r="F23" s="719"/>
      <c r="G23" s="744">
        <v>360</v>
      </c>
      <c r="H23" s="744">
        <v>8000</v>
      </c>
      <c r="I23" s="745">
        <v>1</v>
      </c>
      <c r="K23" s="252"/>
      <c r="L23" s="99"/>
      <c r="M23" s="665">
        <v>2000</v>
      </c>
      <c r="N23" s="652">
        <v>8.49</v>
      </c>
      <c r="O23" s="686">
        <v>1.9289966552642908</v>
      </c>
      <c r="P23" s="656"/>
    </row>
    <row r="24" spans="2:16" ht="15.75" customHeight="1" x14ac:dyDescent="0.25">
      <c r="B24" s="252"/>
      <c r="C24" s="99"/>
      <c r="D24" s="99"/>
      <c r="E24" s="99"/>
      <c r="F24" s="707" t="s">
        <v>478</v>
      </c>
      <c r="G24" s="720">
        <v>360</v>
      </c>
      <c r="H24" s="721">
        <v>8000</v>
      </c>
      <c r="I24" s="722">
        <v>1</v>
      </c>
      <c r="K24" s="252"/>
      <c r="L24" s="99"/>
      <c r="M24" s="665">
        <v>5000</v>
      </c>
      <c r="N24" s="652">
        <v>7.96</v>
      </c>
      <c r="O24" s="686">
        <v>1.921296080061071</v>
      </c>
      <c r="P24" s="656"/>
    </row>
    <row r="25" spans="2:16" ht="15.75" customHeight="1" thickBot="1" x14ac:dyDescent="0.3">
      <c r="B25" s="660" t="s">
        <v>479</v>
      </c>
      <c r="C25" s="661"/>
      <c r="D25" s="661"/>
      <c r="E25" s="661"/>
      <c r="F25" s="661"/>
      <c r="G25" s="661"/>
      <c r="H25" s="661"/>
      <c r="I25" s="709"/>
      <c r="K25" s="252"/>
      <c r="L25" s="678" t="s">
        <v>450</v>
      </c>
      <c r="M25" s="679">
        <v>10000</v>
      </c>
      <c r="N25" s="669">
        <v>7.25</v>
      </c>
      <c r="O25" s="689">
        <v>1.8889101074258496</v>
      </c>
      <c r="P25" s="656"/>
    </row>
    <row r="26" spans="2:16" ht="15.75" customHeight="1" x14ac:dyDescent="0.25">
      <c r="I26" s="94"/>
      <c r="K26" s="252"/>
      <c r="L26" s="99"/>
      <c r="M26" s="666">
        <v>20000</v>
      </c>
      <c r="N26" s="652">
        <v>6.19</v>
      </c>
      <c r="O26" s="686">
        <v>1.8076000026120045</v>
      </c>
      <c r="P26" s="656"/>
    </row>
    <row r="27" spans="2:16" ht="15.75" customHeight="1" thickBot="1" x14ac:dyDescent="0.3">
      <c r="I27" s="94"/>
      <c r="K27" s="252"/>
      <c r="L27" s="99"/>
      <c r="M27" s="666">
        <v>50000</v>
      </c>
      <c r="N27" s="652">
        <v>4.5999999999999996</v>
      </c>
      <c r="O27" s="686">
        <v>1.6257999962113414</v>
      </c>
      <c r="P27" s="656"/>
    </row>
    <row r="28" spans="2:16" ht="15.75" customHeight="1" x14ac:dyDescent="0.25">
      <c r="B28" s="763" t="s">
        <v>493</v>
      </c>
      <c r="C28" s="654"/>
      <c r="D28" s="654"/>
      <c r="E28" s="654"/>
      <c r="F28" s="654"/>
      <c r="G28" s="654"/>
      <c r="H28" s="654"/>
      <c r="I28" s="708"/>
      <c r="K28" s="252"/>
      <c r="L28" s="99"/>
      <c r="M28" s="666">
        <v>100000</v>
      </c>
      <c r="N28" s="652">
        <v>3.73</v>
      </c>
      <c r="O28" s="686">
        <v>1.5174025129350848</v>
      </c>
      <c r="P28" s="656"/>
    </row>
    <row r="29" spans="2:16" ht="15.75" customHeight="1" x14ac:dyDescent="0.25">
      <c r="B29" s="252" t="s">
        <v>492</v>
      </c>
      <c r="C29" s="99"/>
      <c r="D29" s="99"/>
      <c r="E29" s="99"/>
      <c r="F29" s="99"/>
      <c r="G29" s="99"/>
      <c r="H29" s="99"/>
      <c r="I29" s="764"/>
      <c r="K29" s="252"/>
      <c r="L29" s="99"/>
      <c r="M29" s="666">
        <v>200000</v>
      </c>
      <c r="N29" s="652">
        <v>3.18</v>
      </c>
      <c r="O29" s="686">
        <v>1.4755045513330549</v>
      </c>
      <c r="P29" s="656"/>
    </row>
    <row r="30" spans="2:16" ht="15.75" customHeight="1" x14ac:dyDescent="0.25">
      <c r="B30" s="252"/>
      <c r="C30" s="99"/>
      <c r="D30" s="99"/>
      <c r="E30" s="99"/>
      <c r="F30" s="99"/>
      <c r="G30" s="99"/>
      <c r="H30" s="99"/>
      <c r="I30" s="764"/>
      <c r="K30" s="252"/>
      <c r="L30" s="99"/>
      <c r="M30" s="666">
        <v>500000</v>
      </c>
      <c r="N30" s="652">
        <v>2.56</v>
      </c>
      <c r="O30" s="686">
        <v>1.5098344363287448</v>
      </c>
      <c r="P30" s="656"/>
    </row>
    <row r="31" spans="2:16" ht="15.75" customHeight="1" x14ac:dyDescent="0.25">
      <c r="B31" s="252" t="s">
        <v>495</v>
      </c>
      <c r="C31" s="99"/>
      <c r="D31" s="99"/>
      <c r="E31" s="99"/>
      <c r="F31" s="99"/>
      <c r="G31" s="99"/>
      <c r="H31" s="99"/>
      <c r="I31" s="764"/>
      <c r="K31" s="252"/>
      <c r="L31" s="99"/>
      <c r="M31" s="667">
        <v>1000000</v>
      </c>
      <c r="N31" s="668">
        <v>2.4900000000000002</v>
      </c>
      <c r="O31" s="690">
        <v>1.5098344363287448</v>
      </c>
      <c r="P31" s="656"/>
    </row>
    <row r="32" spans="2:16" ht="15.75" customHeight="1" thickBot="1" x14ac:dyDescent="0.3">
      <c r="B32" s="660"/>
      <c r="C32" s="661"/>
      <c r="D32" s="661"/>
      <c r="E32" s="661"/>
      <c r="F32" s="661"/>
      <c r="G32" s="661"/>
      <c r="H32" s="661"/>
      <c r="I32" s="709"/>
      <c r="K32" s="252"/>
      <c r="L32" s="1246" t="s">
        <v>459</v>
      </c>
      <c r="M32" s="1246"/>
      <c r="N32" s="1246"/>
      <c r="O32" s="1246"/>
      <c r="P32" s="701"/>
    </row>
    <row r="33" spans="2:103" ht="15.75" customHeight="1" x14ac:dyDescent="0.25">
      <c r="K33" s="252"/>
      <c r="L33" s="1246"/>
      <c r="M33" s="1246"/>
      <c r="N33" s="1246"/>
      <c r="O33" s="1246"/>
      <c r="P33" s="701"/>
    </row>
    <row r="34" spans="2:103" ht="15.75" customHeight="1" thickBot="1" x14ac:dyDescent="0.3">
      <c r="K34" s="660"/>
      <c r="L34" s="1247"/>
      <c r="M34" s="1247"/>
      <c r="N34" s="1247"/>
      <c r="O34" s="1247"/>
      <c r="P34" s="662"/>
    </row>
    <row r="35" spans="2:103" s="724" customFormat="1" ht="15.75" customHeight="1" thickBot="1" x14ac:dyDescent="0.3">
      <c r="I35" s="725"/>
      <c r="L35" s="726"/>
      <c r="M35" s="726"/>
      <c r="N35" s="726"/>
      <c r="O35" s="726"/>
      <c r="Q35" s="727"/>
      <c r="R35" s="727"/>
      <c r="S35" s="727"/>
      <c r="T35" s="727"/>
      <c r="U35" s="727"/>
      <c r="V35" s="727"/>
      <c r="W35" s="727"/>
      <c r="X35" s="727"/>
      <c r="Y35" s="727"/>
      <c r="Z35" s="727"/>
      <c r="AA35" s="727"/>
      <c r="AB35" s="727"/>
      <c r="AC35" s="727"/>
      <c r="AD35" s="727"/>
      <c r="AE35" s="727"/>
      <c r="AF35" s="727"/>
      <c r="AG35" s="727"/>
      <c r="AH35" s="727"/>
      <c r="AI35" s="727"/>
      <c r="AJ35" s="727"/>
      <c r="AK35" s="727"/>
      <c r="AL35" s="727"/>
      <c r="AM35" s="727"/>
      <c r="AN35" s="727"/>
      <c r="AO35" s="727"/>
      <c r="AP35" s="727"/>
      <c r="AQ35" s="727"/>
      <c r="AR35" s="727"/>
      <c r="AS35" s="727"/>
      <c r="AT35" s="727"/>
      <c r="AU35" s="727"/>
      <c r="AV35" s="727"/>
      <c r="AW35" s="727"/>
      <c r="AX35" s="727"/>
      <c r="CC35" s="728"/>
      <c r="CD35" s="729"/>
      <c r="CE35" s="729"/>
      <c r="CF35" s="730"/>
      <c r="CG35" s="729"/>
      <c r="CH35" s="731"/>
      <c r="CI35" s="732"/>
    </row>
    <row r="36" spans="2:103" s="771" customFormat="1" ht="15.75" customHeight="1" thickTop="1" x14ac:dyDescent="0.25">
      <c r="I36" s="772"/>
      <c r="L36" s="773"/>
      <c r="M36" s="773"/>
      <c r="N36" s="773"/>
      <c r="O36" s="773"/>
      <c r="Q36" s="774"/>
      <c r="R36" s="774"/>
      <c r="S36" s="774"/>
      <c r="T36" s="774"/>
      <c r="U36" s="774"/>
      <c r="V36" s="774"/>
      <c r="W36" s="774"/>
      <c r="X36" s="774"/>
      <c r="Y36" s="774"/>
      <c r="Z36" s="774"/>
      <c r="AA36" s="774"/>
      <c r="AB36" s="774"/>
      <c r="AC36" s="774"/>
      <c r="AD36" s="774"/>
      <c r="AE36" s="774"/>
      <c r="AF36" s="774"/>
      <c r="AG36" s="774"/>
      <c r="AH36" s="774"/>
      <c r="AI36" s="774"/>
      <c r="AJ36" s="774"/>
      <c r="AK36" s="774"/>
      <c r="AL36" s="774"/>
      <c r="AM36" s="774"/>
      <c r="AN36" s="774"/>
      <c r="AO36" s="774"/>
      <c r="AP36" s="774"/>
      <c r="AQ36" s="774"/>
      <c r="AR36" s="774"/>
      <c r="AS36" s="774"/>
      <c r="AT36" s="774"/>
      <c r="AU36" s="774"/>
      <c r="AV36" s="774"/>
      <c r="AW36" s="774"/>
      <c r="AX36" s="774"/>
      <c r="CC36" s="775"/>
      <c r="CD36" s="776"/>
      <c r="CE36" s="776"/>
      <c r="CF36" s="777"/>
      <c r="CG36" s="776"/>
      <c r="CH36" s="778"/>
      <c r="CI36" s="779"/>
    </row>
    <row r="37" spans="2:103" ht="12.75" customHeight="1" x14ac:dyDescent="0.25"/>
    <row r="38" spans="2:103" x14ac:dyDescent="0.25">
      <c r="B38" s="746" t="s">
        <v>535</v>
      </c>
      <c r="O38" s="765" t="s">
        <v>496</v>
      </c>
    </row>
    <row r="39" spans="2:103" x14ac:dyDescent="0.25">
      <c r="B39" s="746"/>
    </row>
    <row r="40" spans="2:103" ht="13.8" thickBot="1" x14ac:dyDescent="0.3">
      <c r="E40" s="766" t="s">
        <v>485</v>
      </c>
    </row>
    <row r="41" spans="2:103" ht="29.25" customHeight="1" x14ac:dyDescent="0.25">
      <c r="B41" s="707" t="s">
        <v>148</v>
      </c>
      <c r="C41" s="747" t="s">
        <v>244</v>
      </c>
      <c r="D41" s="748"/>
      <c r="E41" s="749" t="str">
        <f>IF(E44=F44,F41,IF(E44=G44,G41,IF(E44=H44,H41,"User-Defined")))</f>
        <v>Wilkening</v>
      </c>
      <c r="F41" s="323" t="s">
        <v>243</v>
      </c>
      <c r="G41" s="321" t="s">
        <v>467</v>
      </c>
      <c r="H41" s="324"/>
      <c r="I41" s="605" t="s">
        <v>432</v>
      </c>
      <c r="J41" s="622"/>
      <c r="K41" s="607"/>
      <c r="L41" s="606"/>
      <c r="M41" s="616" t="str">
        <f>E41</f>
        <v>Wilkening</v>
      </c>
      <c r="BM41" s="651"/>
      <c r="BN41" s="651"/>
    </row>
    <row r="42" spans="2:103" ht="41.25" customHeight="1" x14ac:dyDescent="0.25">
      <c r="B42" s="707" t="s">
        <v>146</v>
      </c>
      <c r="C42" s="750" t="s">
        <v>147</v>
      </c>
      <c r="D42" s="329"/>
      <c r="E42" s="733">
        <f>INCUBATION!E23</f>
        <v>0</v>
      </c>
      <c r="F42" s="324"/>
      <c r="G42" s="322"/>
      <c r="H42" s="324"/>
      <c r="I42" s="608"/>
      <c r="J42" s="623" t="s">
        <v>426</v>
      </c>
      <c r="K42" s="614" t="s">
        <v>429</v>
      </c>
      <c r="L42" s="614" t="s">
        <v>430</v>
      </c>
      <c r="M42" s="615" t="s">
        <v>431</v>
      </c>
      <c r="BM42" s="291"/>
      <c r="BN42" s="291"/>
      <c r="BO42" s="358"/>
      <c r="BP42" s="358"/>
      <c r="BQ42" s="358"/>
      <c r="BR42" s="358"/>
      <c r="BS42" s="358"/>
      <c r="BT42" s="358"/>
      <c r="BU42" s="358"/>
      <c r="BV42" s="358"/>
      <c r="BW42" s="358"/>
      <c r="BX42" s="358"/>
      <c r="BY42" s="358"/>
      <c r="BZ42" s="358"/>
      <c r="CA42" s="358"/>
    </row>
    <row r="43" spans="2:103" ht="57" x14ac:dyDescent="0.25">
      <c r="B43" s="707" t="s">
        <v>144</v>
      </c>
      <c r="C43" s="1236" t="s">
        <v>145</v>
      </c>
      <c r="D43" s="1237"/>
      <c r="E43" s="734">
        <f>0.95</f>
        <v>0.95</v>
      </c>
      <c r="F43" s="324"/>
      <c r="G43" s="322"/>
      <c r="H43" s="324"/>
      <c r="I43" s="621" t="s">
        <v>486</v>
      </c>
      <c r="J43" s="624" t="str">
        <f>F55</f>
        <v>&lt;type description here&gt;</v>
      </c>
      <c r="K43" s="629" t="str">
        <f>IF(CASE_COUNTS!C208&gt;0,CASE_COUNTS!C10,"not being used")</f>
        <v>not being used</v>
      </c>
      <c r="L43" s="630" t="str">
        <f>IF(CASE_COUNTS!D208&gt;0,CASE_COUNTS!D10,"not being used")</f>
        <v>not being used</v>
      </c>
      <c r="M43" s="631" t="str">
        <f>IF(CASE_COUNTS!E208&gt;0,CASE_COUNTS!E10,"not being used")</f>
        <v>not being used</v>
      </c>
      <c r="N43" s="99"/>
      <c r="BM43" s="291"/>
      <c r="BN43" s="291"/>
    </row>
    <row r="44" spans="2:103" x14ac:dyDescent="0.25">
      <c r="B44" s="707" t="s">
        <v>141</v>
      </c>
      <c r="C44" s="751" t="s">
        <v>143</v>
      </c>
      <c r="D44" s="330"/>
      <c r="E44" s="735">
        <f>INCUBATION!E14</f>
        <v>6.85</v>
      </c>
      <c r="F44" s="736">
        <f>INCUBATION!H14</f>
        <v>6.85</v>
      </c>
      <c r="G44" s="752">
        <f>INCUBATION!I14</f>
        <v>8.89</v>
      </c>
      <c r="H44" s="691"/>
      <c r="I44" s="609" t="s">
        <v>433</v>
      </c>
      <c r="J44" s="625" t="e">
        <f ca="1">E50</f>
        <v>#N/A</v>
      </c>
      <c r="K44" s="617" t="e">
        <f>IF(K43="not being used",NA(),E122)</f>
        <v>#N/A</v>
      </c>
      <c r="L44" s="617" t="e">
        <f>IF($L$43="not being used",NA(),E193)</f>
        <v>#N/A</v>
      </c>
      <c r="M44" s="618" t="e">
        <f>IF($M$43="not being used",NA(),E264)</f>
        <v>#N/A</v>
      </c>
      <c r="N44" s="1242"/>
      <c r="BM44" s="99"/>
      <c r="BN44" s="99"/>
    </row>
    <row r="45" spans="2:103" ht="12.75" customHeight="1" x14ac:dyDescent="0.25">
      <c r="B45" s="707"/>
      <c r="C45" s="751"/>
      <c r="D45" s="737" t="s">
        <v>142</v>
      </c>
      <c r="E45" s="738">
        <f>LN($E$44)</f>
        <v>1.9242486522741338</v>
      </c>
      <c r="F45" s="331">
        <f>LN($F$44)</f>
        <v>1.9242486522741338</v>
      </c>
      <c r="G45" s="332">
        <f>LN($G$44)</f>
        <v>2.1849270495258133</v>
      </c>
      <c r="H45" s="331"/>
      <c r="I45" s="610" t="s">
        <v>258</v>
      </c>
      <c r="J45" s="625" t="e">
        <f ca="1">E51</f>
        <v>#N/A</v>
      </c>
      <c r="K45" s="619" t="e">
        <f>IF(K44="not being used",NA(),E123)</f>
        <v>#N/A</v>
      </c>
      <c r="L45" s="619" t="e">
        <f>IF($L$43="not being used",NA(),E194)</f>
        <v>#N/A</v>
      </c>
      <c r="M45" s="620" t="e">
        <f>IF($M$43="not being used",NA(),E265)</f>
        <v>#N/A</v>
      </c>
      <c r="N45" s="1242"/>
      <c r="BM45" s="291"/>
      <c r="BN45" s="291"/>
      <c r="CY45" s="99"/>
    </row>
    <row r="46" spans="2:103" ht="16.5" customHeight="1" thickBot="1" x14ac:dyDescent="0.3">
      <c r="B46" s="707" t="s">
        <v>138</v>
      </c>
      <c r="C46" s="751" t="s">
        <v>140</v>
      </c>
      <c r="D46" s="330"/>
      <c r="E46" s="735">
        <f>INCUBATION!E15</f>
        <v>1.83</v>
      </c>
      <c r="F46" s="691">
        <f>INCUBATION!H15</f>
        <v>1.83</v>
      </c>
      <c r="G46" s="752">
        <f>INCUBATION!I15</f>
        <v>1.9193757443089139</v>
      </c>
      <c r="H46" s="691"/>
      <c r="I46" s="611" t="s">
        <v>259</v>
      </c>
      <c r="J46" s="626" t="e">
        <f ca="1">E52</f>
        <v>#N/A</v>
      </c>
      <c r="K46" s="627" t="e">
        <f>IF(K45="not being used",NA(),E124)</f>
        <v>#N/A</v>
      </c>
      <c r="L46" s="627" t="e">
        <f>IF($L$43="not being used",NA(),E195)</f>
        <v>#N/A</v>
      </c>
      <c r="M46" s="628" t="e">
        <f>IF($M$43="not being used",NA(),E266)</f>
        <v>#N/A</v>
      </c>
      <c r="N46" s="99"/>
      <c r="BM46" s="99"/>
      <c r="BN46" s="99"/>
      <c r="CY46" s="99"/>
    </row>
    <row r="47" spans="2:103" x14ac:dyDescent="0.25">
      <c r="B47" s="707"/>
      <c r="C47" s="751"/>
      <c r="D47" s="737" t="s">
        <v>139</v>
      </c>
      <c r="E47" s="738">
        <f>LN($E$46)</f>
        <v>0.60431596685332956</v>
      </c>
      <c r="F47" s="331">
        <f>LN(F$46)</f>
        <v>0.60431596685332956</v>
      </c>
      <c r="G47" s="332">
        <f>LN(G$46)</f>
        <v>0.65200000000000002</v>
      </c>
      <c r="H47" s="331"/>
      <c r="I47" s="94"/>
      <c r="K47" s="94"/>
      <c r="N47" s="99"/>
      <c r="BF47" s="95"/>
      <c r="BM47" s="99"/>
      <c r="BN47" s="99"/>
      <c r="CY47" s="99"/>
    </row>
    <row r="48" spans="2:103" x14ac:dyDescent="0.25">
      <c r="B48" s="707" t="s">
        <v>246</v>
      </c>
      <c r="C48" s="751" t="s">
        <v>245</v>
      </c>
      <c r="D48" s="330"/>
      <c r="E48" s="739">
        <f>E42*E43</f>
        <v>0</v>
      </c>
      <c r="F48" s="334"/>
      <c r="G48" s="692"/>
      <c r="H48" s="333"/>
      <c r="I48" s="94"/>
      <c r="K48" s="94"/>
      <c r="BN48" s="99"/>
    </row>
    <row r="49" spans="2:96" x14ac:dyDescent="0.25">
      <c r="B49" s="707"/>
      <c r="C49" s="751"/>
      <c r="D49" s="330"/>
      <c r="E49" s="739"/>
      <c r="F49" s="334"/>
      <c r="G49" s="692"/>
      <c r="H49" s="333"/>
      <c r="I49" s="94"/>
      <c r="K49" s="94"/>
      <c r="BN49" s="99"/>
    </row>
    <row r="50" spans="2:96" ht="13.5" customHeight="1" x14ac:dyDescent="0.25">
      <c r="B50" s="99"/>
      <c r="C50" s="758"/>
      <c r="D50" s="759" t="s">
        <v>250</v>
      </c>
      <c r="E50" s="760" t="e">
        <f ca="1">IF($E$48&gt;0,IF($J117&gt;0,IF($K117&gt;$E$48,$E$48,$K117),$E$48),$K117)</f>
        <v>#N/A</v>
      </c>
      <c r="F50" s="761" t="e">
        <f ca="1">IF($E$48&gt;0,IF($J117&gt;0,IF($T51&gt;$E$48,$E$48,$T51),$E$48),$T51)</f>
        <v>#N/A</v>
      </c>
      <c r="G50" s="762" t="e">
        <f ca="1">IF($E$48&gt;0,IF($J117&gt;0,IF($AL51&gt;$E$48,$E$48,$AL51),$E$48),$AL51)</f>
        <v>#N/A</v>
      </c>
      <c r="H50" s="327"/>
      <c r="I50" s="94"/>
      <c r="K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BC50" s="641"/>
      <c r="BN50" s="99"/>
    </row>
    <row r="51" spans="2:96" s="102" customFormat="1" x14ac:dyDescent="0.25">
      <c r="B51" s="99"/>
      <c r="C51" s="753"/>
      <c r="D51" s="341" t="s">
        <v>434</v>
      </c>
      <c r="E51" s="327" t="e">
        <f ca="1">IF($E$41=$F$41,F51,IF($E$41=$G$41,G51,"n/a"))</f>
        <v>#N/A</v>
      </c>
      <c r="F51" s="327" t="e">
        <f ca="1">IF($E$48&gt;0,IF($J117&gt;0,IF($Z51&gt;$E$48,$E$48,$Z51),$E$48),$Z51)</f>
        <v>#N/A</v>
      </c>
      <c r="G51" s="693" t="e">
        <f ca="1">IF($E$48&gt;0,IF($J117&gt;0,IF($AX51&gt;$E$48,$E$48,$AX51),$E$48),$AX51)</f>
        <v>#N/A</v>
      </c>
      <c r="H51" s="327"/>
      <c r="N51" s="94"/>
      <c r="O51" s="274" t="s">
        <v>247</v>
      </c>
      <c r="P51" s="315"/>
      <c r="Q51" s="315"/>
      <c r="R51" s="275"/>
      <c r="S51" s="359" t="s">
        <v>249</v>
      </c>
      <c r="T51" s="360" t="e">
        <f ca="1">T117</f>
        <v>#N/A</v>
      </c>
      <c r="U51" s="274" t="s">
        <v>253</v>
      </c>
      <c r="V51" s="315"/>
      <c r="W51" s="315"/>
      <c r="X51" s="275"/>
      <c r="Y51" s="359" t="s">
        <v>248</v>
      </c>
      <c r="Z51" s="366" t="e">
        <f ca="1">Z117</f>
        <v>#N/A</v>
      </c>
      <c r="AA51" s="274" t="s">
        <v>252</v>
      </c>
      <c r="AB51" s="315"/>
      <c r="AC51" s="315"/>
      <c r="AD51" s="275"/>
      <c r="AE51" s="359" t="s">
        <v>251</v>
      </c>
      <c r="AF51" s="360" t="e">
        <f ca="1">AF117</f>
        <v>#N/A</v>
      </c>
      <c r="AG51" s="274" t="s">
        <v>461</v>
      </c>
      <c r="AH51" s="275"/>
      <c r="AI51" s="275"/>
      <c r="AJ51" s="275"/>
      <c r="AK51" s="359" t="s">
        <v>466</v>
      </c>
      <c r="AL51" s="360" t="e">
        <f ca="1">AL117</f>
        <v>#N/A</v>
      </c>
      <c r="AM51" s="274" t="s">
        <v>462</v>
      </c>
      <c r="AN51" s="275"/>
      <c r="AO51" s="275"/>
      <c r="AP51" s="275"/>
      <c r="AQ51" s="359" t="s">
        <v>465</v>
      </c>
      <c r="AR51" s="360" t="e">
        <f ca="1">AR117</f>
        <v>#N/A</v>
      </c>
      <c r="AS51" s="274" t="s">
        <v>463</v>
      </c>
      <c r="AT51" s="275"/>
      <c r="AU51" s="275"/>
      <c r="AV51" s="275"/>
      <c r="AW51" s="359" t="s">
        <v>464</v>
      </c>
      <c r="AX51" s="360" t="e">
        <f ca="1">AX117</f>
        <v>#N/A</v>
      </c>
      <c r="AY51" s="94"/>
      <c r="AZ51" s="94"/>
      <c r="BA51" s="94"/>
      <c r="BB51" s="94"/>
      <c r="BC51" s="641"/>
      <c r="BD51" s="94"/>
      <c r="BE51" s="94"/>
      <c r="BF51" s="94"/>
      <c r="BG51" s="94"/>
      <c r="BH51" s="94"/>
      <c r="BI51" s="94"/>
      <c r="BJ51" s="94"/>
      <c r="BK51" s="94"/>
      <c r="BL51" s="94"/>
      <c r="BN51" s="99"/>
      <c r="BO51" s="94"/>
      <c r="BP51" s="94"/>
      <c r="BQ51" s="94"/>
      <c r="BR51" s="94"/>
      <c r="BS51" s="94"/>
      <c r="BT51" s="94"/>
      <c r="BU51" s="94"/>
      <c r="BV51" s="94"/>
      <c r="BW51" s="94"/>
      <c r="BX51" s="94"/>
      <c r="BY51" s="94"/>
      <c r="BZ51" s="94"/>
    </row>
    <row r="52" spans="2:96" x14ac:dyDescent="0.25">
      <c r="B52" s="99"/>
      <c r="C52" s="754"/>
      <c r="D52" s="755" t="s">
        <v>435</v>
      </c>
      <c r="E52" s="756" t="e">
        <f ca="1">IF($E$41=$F$41,F52,IF($E$41=$G$41,G52,"n/a"))</f>
        <v>#N/A</v>
      </c>
      <c r="F52" s="756" t="e">
        <f ca="1">IF($E$48&gt;0,IF($J117&gt;0,IF($AF51&gt;$E$48,$E$48,$AF51),$E$48),$AF51)</f>
        <v>#N/A</v>
      </c>
      <c r="G52" s="757" t="e">
        <f ca="1">IF($E$48&gt;0,IF($J117&gt;0,IF($AR51&gt;$E$48,$E$48,$AR51),$E$48),$AR51)</f>
        <v>#N/A</v>
      </c>
      <c r="H52" s="327"/>
      <c r="I52" s="94"/>
      <c r="K52" s="94"/>
      <c r="O52" s="276">
        <f>LN(G17)</f>
        <v>1.9242486522741338</v>
      </c>
      <c r="P52" s="277"/>
      <c r="Q52" s="277"/>
      <c r="R52" s="277"/>
      <c r="S52" s="277"/>
      <c r="T52" s="281"/>
      <c r="U52" s="276">
        <f>LN(H17)</f>
        <v>1.6154199841116479</v>
      </c>
      <c r="V52" s="277"/>
      <c r="W52" s="277"/>
      <c r="X52" s="277"/>
      <c r="Y52" s="277"/>
      <c r="Z52" s="281"/>
      <c r="AA52" s="276">
        <f>LN(I17)</f>
        <v>2.33214389523559</v>
      </c>
      <c r="AB52" s="277"/>
      <c r="AC52" s="277"/>
      <c r="AD52" s="277"/>
      <c r="AE52" s="277"/>
      <c r="AF52" s="281"/>
      <c r="AG52" s="276">
        <f>LN(N7)</f>
        <v>2.1849270495258133</v>
      </c>
      <c r="AH52" s="277"/>
      <c r="AI52" s="277"/>
      <c r="AJ52" s="277"/>
      <c r="AK52" s="277"/>
      <c r="AL52" s="281"/>
      <c r="AM52" s="276">
        <f>LN(N9)</f>
        <v>2.2690283094652028</v>
      </c>
      <c r="AN52" s="277"/>
      <c r="AO52" s="277"/>
      <c r="AP52" s="277"/>
      <c r="AQ52" s="277"/>
      <c r="AR52" s="281"/>
      <c r="AS52" s="276">
        <f>LN(N8)</f>
        <v>1.9810014688665833</v>
      </c>
      <c r="AT52" s="277"/>
      <c r="AU52" s="277"/>
      <c r="AV52" s="277"/>
      <c r="AW52" s="277"/>
      <c r="AX52" s="281"/>
      <c r="AZ52" s="98"/>
      <c r="BA52" s="102"/>
      <c r="BB52" s="102"/>
      <c r="BC52" s="102"/>
      <c r="BD52" s="102"/>
      <c r="BE52" s="102"/>
      <c r="BF52" s="102"/>
      <c r="BM52" s="102"/>
      <c r="BN52" s="99"/>
      <c r="BO52" s="102"/>
      <c r="BP52" s="102"/>
      <c r="BQ52" s="102"/>
      <c r="BR52" s="102"/>
      <c r="BS52" s="102"/>
      <c r="BT52" s="102"/>
      <c r="BU52" s="102"/>
      <c r="BV52" s="102"/>
      <c r="BW52" s="102"/>
      <c r="BX52" s="102"/>
      <c r="BY52" s="102"/>
      <c r="BZ52" s="102"/>
      <c r="CP52" s="99"/>
      <c r="CQ52" s="99"/>
    </row>
    <row r="53" spans="2:96" ht="13.8" thickBot="1" x14ac:dyDescent="0.3">
      <c r="B53" s="99"/>
      <c r="C53" s="316"/>
      <c r="D53" s="341"/>
      <c r="E53" s="327"/>
      <c r="F53" s="327"/>
      <c r="G53" s="327"/>
      <c r="H53" s="327"/>
      <c r="I53" s="94"/>
      <c r="K53" s="94"/>
      <c r="O53" s="897">
        <f>LN(G18)</f>
        <v>0.60431596685332956</v>
      </c>
      <c r="P53" s="277"/>
      <c r="Q53" s="277"/>
      <c r="R53" s="277"/>
      <c r="S53" s="277"/>
      <c r="T53" s="281"/>
      <c r="U53" s="897">
        <f>LN(H18)</f>
        <v>0.494696241836107</v>
      </c>
      <c r="V53" s="277"/>
      <c r="W53" s="277"/>
      <c r="X53" s="277"/>
      <c r="Y53" s="277"/>
      <c r="Z53" s="281"/>
      <c r="AA53" s="897">
        <f>LN(I18)</f>
        <v>0.80200158547202738</v>
      </c>
      <c r="AB53" s="277"/>
      <c r="AC53" s="277"/>
      <c r="AD53" s="277"/>
      <c r="AE53" s="277"/>
      <c r="AF53" s="281"/>
      <c r="AG53" s="897">
        <f>LN(O7)</f>
        <v>0.65200000000000002</v>
      </c>
      <c r="AH53" s="277"/>
      <c r="AI53" s="277"/>
      <c r="AJ53" s="277"/>
      <c r="AK53" s="277"/>
      <c r="AL53" s="281"/>
      <c r="AM53" s="897">
        <f>LN(O9)</f>
        <v>0.61799999999999999</v>
      </c>
      <c r="AN53" s="277"/>
      <c r="AO53" s="277"/>
      <c r="AP53" s="277"/>
      <c r="AQ53" s="277"/>
      <c r="AR53" s="281"/>
      <c r="AS53" s="897">
        <f>LN(O8)</f>
        <v>0.63600000000000001</v>
      </c>
      <c r="AT53" s="277"/>
      <c r="AU53" s="277"/>
      <c r="AV53" s="277"/>
      <c r="AW53" s="277"/>
      <c r="AX53" s="281"/>
      <c r="AZ53" s="98"/>
      <c r="BA53" s="102"/>
      <c r="BB53" s="102"/>
      <c r="BC53" s="102"/>
      <c r="BD53" s="102"/>
      <c r="BE53" s="102"/>
      <c r="BF53" s="102"/>
      <c r="BM53" s="102"/>
      <c r="BN53" s="99"/>
      <c r="BO53" s="102"/>
      <c r="BP53" s="102"/>
      <c r="BQ53" s="102"/>
      <c r="BR53" s="102"/>
      <c r="BS53" s="102"/>
      <c r="BT53" s="102"/>
      <c r="BU53" s="102"/>
      <c r="BV53" s="102"/>
      <c r="BW53" s="102"/>
      <c r="BX53" s="102"/>
      <c r="BY53" s="102"/>
      <c r="BZ53" s="102"/>
      <c r="CP53" s="99"/>
      <c r="CQ53" s="99"/>
    </row>
    <row r="54" spans="2:96" s="780" customFormat="1" ht="14.4" thickTop="1" thickBot="1" x14ac:dyDescent="0.3">
      <c r="C54" s="781"/>
      <c r="D54" s="781"/>
      <c r="E54" s="782"/>
      <c r="F54" s="783"/>
      <c r="G54" s="783"/>
      <c r="H54" s="783"/>
      <c r="P54" s="784"/>
      <c r="Q54" s="784"/>
      <c r="R54" s="784"/>
      <c r="S54" s="784"/>
      <c r="T54" s="785"/>
      <c r="V54" s="784"/>
      <c r="W54" s="784"/>
      <c r="X54" s="784"/>
      <c r="Y54" s="784"/>
      <c r="Z54" s="785"/>
      <c r="AB54" s="784"/>
      <c r="AC54" s="784"/>
      <c r="AD54" s="784"/>
      <c r="AE54" s="784"/>
      <c r="AF54" s="785"/>
      <c r="AH54" s="784"/>
      <c r="AI54" s="784"/>
      <c r="AJ54" s="784"/>
      <c r="AK54" s="784"/>
      <c r="AL54" s="785"/>
      <c r="AN54" s="784"/>
      <c r="AO54" s="784"/>
      <c r="AP54" s="784"/>
      <c r="AQ54" s="784"/>
      <c r="AR54" s="785"/>
      <c r="AT54" s="784"/>
      <c r="AU54" s="784"/>
      <c r="AV54" s="784"/>
      <c r="AW54" s="784"/>
      <c r="AX54" s="785"/>
      <c r="CC54" s="786"/>
      <c r="CD54" s="787"/>
      <c r="CE54" s="787"/>
      <c r="CF54" s="788"/>
      <c r="CG54" s="787"/>
      <c r="CH54" s="789"/>
      <c r="CI54" s="790"/>
    </row>
    <row r="55" spans="2:96" ht="18" thickTop="1" x14ac:dyDescent="0.3">
      <c r="B55" s="314" t="s">
        <v>439</v>
      </c>
      <c r="F55" s="464" t="str">
        <f>INCUBATION!E27</f>
        <v>&lt;type description here&gt;</v>
      </c>
      <c r="G55" s="100"/>
      <c r="H55" s="95"/>
      <c r="O55" s="280"/>
      <c r="P55" s="279"/>
      <c r="Q55" s="279"/>
      <c r="R55" s="279"/>
      <c r="S55" s="279"/>
      <c r="T55" s="281"/>
      <c r="U55" s="280"/>
      <c r="V55" s="279"/>
      <c r="W55" s="279"/>
      <c r="X55" s="279"/>
      <c r="Y55" s="279"/>
      <c r="Z55" s="281"/>
      <c r="AA55" s="280"/>
      <c r="AB55" s="279"/>
      <c r="AC55" s="279"/>
      <c r="AD55" s="279"/>
      <c r="AE55" s="279"/>
      <c r="AF55" s="281"/>
      <c r="AI55" s="279"/>
      <c r="AK55" s="279"/>
      <c r="AL55" s="281"/>
      <c r="AO55" s="279"/>
      <c r="AQ55" s="279"/>
      <c r="AR55" s="281"/>
      <c r="AU55" s="279"/>
      <c r="AW55" s="279"/>
      <c r="AX55" s="281"/>
      <c r="BN55" s="99"/>
    </row>
    <row r="56" spans="2:96" ht="66" x14ac:dyDescent="0.25">
      <c r="B56" s="157" t="s">
        <v>118</v>
      </c>
      <c r="C56" s="157" t="s">
        <v>137</v>
      </c>
      <c r="D56" s="157" t="s">
        <v>596</v>
      </c>
      <c r="E56" s="894" t="s">
        <v>597</v>
      </c>
      <c r="F56" s="157" t="s">
        <v>598</v>
      </c>
      <c r="G56" s="158" t="s">
        <v>594</v>
      </c>
      <c r="H56" s="158" t="s">
        <v>547</v>
      </c>
      <c r="I56" s="158" t="s">
        <v>590</v>
      </c>
      <c r="J56" s="157" t="s">
        <v>131</v>
      </c>
      <c r="K56" s="159" t="s">
        <v>130</v>
      </c>
      <c r="L56" s="157" t="s">
        <v>591</v>
      </c>
      <c r="M56" s="157" t="s">
        <v>592</v>
      </c>
      <c r="N56" s="157" t="s">
        <v>593</v>
      </c>
      <c r="O56" s="282" t="s">
        <v>213</v>
      </c>
      <c r="P56" s="283" t="s">
        <v>215</v>
      </c>
      <c r="Q56" s="283" t="s">
        <v>220</v>
      </c>
      <c r="R56" s="283" t="s">
        <v>217</v>
      </c>
      <c r="S56" s="283" t="s">
        <v>219</v>
      </c>
      <c r="T56" s="284" t="s">
        <v>218</v>
      </c>
      <c r="U56" s="282" t="s">
        <v>213</v>
      </c>
      <c r="V56" s="283" t="s">
        <v>215</v>
      </c>
      <c r="W56" s="283" t="s">
        <v>220</v>
      </c>
      <c r="X56" s="283" t="s">
        <v>217</v>
      </c>
      <c r="Y56" s="283" t="s">
        <v>219</v>
      </c>
      <c r="Z56" s="284" t="s">
        <v>218</v>
      </c>
      <c r="AA56" s="282" t="s">
        <v>213</v>
      </c>
      <c r="AB56" s="283" t="s">
        <v>215</v>
      </c>
      <c r="AC56" s="283" t="s">
        <v>220</v>
      </c>
      <c r="AD56" s="283" t="s">
        <v>217</v>
      </c>
      <c r="AE56" s="283" t="s">
        <v>219</v>
      </c>
      <c r="AF56" s="284" t="s">
        <v>218</v>
      </c>
      <c r="AG56" s="159" t="s">
        <v>214</v>
      </c>
      <c r="AH56" s="159" t="s">
        <v>216</v>
      </c>
      <c r="AI56" s="283" t="s">
        <v>224</v>
      </c>
      <c r="AJ56" s="283" t="s">
        <v>221</v>
      </c>
      <c r="AK56" s="283" t="s">
        <v>222</v>
      </c>
      <c r="AL56" s="284" t="s">
        <v>223</v>
      </c>
      <c r="AM56" s="159" t="s">
        <v>214</v>
      </c>
      <c r="AN56" s="159" t="s">
        <v>216</v>
      </c>
      <c r="AO56" s="283" t="s">
        <v>224</v>
      </c>
      <c r="AP56" s="283" t="s">
        <v>221</v>
      </c>
      <c r="AQ56" s="283" t="s">
        <v>222</v>
      </c>
      <c r="AR56" s="284" t="s">
        <v>223</v>
      </c>
      <c r="AS56" s="159" t="s">
        <v>214</v>
      </c>
      <c r="AT56" s="159" t="s">
        <v>216</v>
      </c>
      <c r="AU56" s="283" t="s">
        <v>224</v>
      </c>
      <c r="AV56" s="283" t="s">
        <v>221</v>
      </c>
      <c r="AW56" s="283" t="s">
        <v>222</v>
      </c>
      <c r="AX56" s="284" t="s">
        <v>223</v>
      </c>
      <c r="BN56" s="99"/>
    </row>
    <row r="57" spans="2:96" ht="12.75" customHeight="1" x14ac:dyDescent="0.25">
      <c r="B57" s="104">
        <f>$I$402</f>
        <v>0</v>
      </c>
      <c r="C57" s="94">
        <v>1</v>
      </c>
      <c r="D57" s="94">
        <f>_xlfn.LOGNORM.DIST(C57, $E$45, $E$47,TRUE)</f>
        <v>7.2583254482819248E-4</v>
      </c>
      <c r="E57" s="94">
        <f>D57</f>
        <v>7.2583254482819248E-4</v>
      </c>
      <c r="F57" s="94" t="e">
        <f ca="1">H57</f>
        <v>#N/A</v>
      </c>
      <c r="G57" s="94" t="e">
        <f ca="1">IF(H57&gt;0,H57,IF($E$41=$F$41,R57,IF($E$41=$G$41,AJ57,0)))</f>
        <v>#N/A</v>
      </c>
      <c r="H57" s="94" t="e">
        <f ca="1">LOOKUP(B57,$C$405:$C$600,(OFFSET($C$405:$C$600,0,1)))</f>
        <v>#N/A</v>
      </c>
      <c r="I57" s="161" t="e">
        <f ca="1">IF((NOT(J57="n/a")),J57,IF($E$41=$F$41,S57,IF($E$41=$G$41,AK57,"n/a")))</f>
        <v>#N/A</v>
      </c>
      <c r="J57" s="156" t="e">
        <f ca="1">F57</f>
        <v>#N/A</v>
      </c>
      <c r="K57" s="160" t="e">
        <f ca="1">IF(NOT(J57="n/a"),(J57/D57),0)</f>
        <v>#N/A</v>
      </c>
      <c r="L57" s="101" t="e">
        <f ca="1">IF($E$41=$F$41,AE57,IF($E$41=$G$41,AW57,"n/a"))</f>
        <v>#N/A</v>
      </c>
      <c r="M57" s="101" t="e">
        <f t="shared" ref="M57:M88" ca="1" si="0">IF($E$41=$F$41,Y57,IF($E$41=$G$41,AQ57,"n/a"))</f>
        <v>#N/A</v>
      </c>
      <c r="N57" s="101" t="e">
        <f ca="1">IF($E$41=$F$41,AD57,IF($E$41=$G$41,AP57,"n/a"))</f>
        <v>#N/A</v>
      </c>
      <c r="O57" s="285">
        <f t="shared" ref="O57:O88" si="1">_xlfn.LOGNORM.DIST($C57, O$52, O$53,TRUE)</f>
        <v>7.2583254482819248E-4</v>
      </c>
      <c r="P57" s="891">
        <f>O57</f>
        <v>7.2583254482819248E-4</v>
      </c>
      <c r="Q57" s="99">
        <f>P57</f>
        <v>7.2583254482819248E-4</v>
      </c>
      <c r="R57" s="99" t="e">
        <f t="shared" ref="R57:R88" ca="1" si="2">ROUND(P57*$F$50,0)</f>
        <v>#N/A</v>
      </c>
      <c r="S57" s="161" t="e">
        <f ca="1">ROUND(O57*$T$117,0)</f>
        <v>#N/A</v>
      </c>
      <c r="T57" s="286" t="e">
        <f ca="1">IF(NOT($J57="n/a"),($J57/Q57),0)</f>
        <v>#N/A</v>
      </c>
      <c r="U57" s="285">
        <f t="shared" ref="U57:U88" si="3">_xlfn.LOGNORM.DIST($C57, U$52, U$53, TRUE)</f>
        <v>5.4639634009713187E-4</v>
      </c>
      <c r="V57" s="891">
        <f>U57</f>
        <v>5.4639634009713187E-4</v>
      </c>
      <c r="W57" s="99">
        <f>V57</f>
        <v>5.4639634009713187E-4</v>
      </c>
      <c r="X57" s="99" t="e">
        <f ca="1">ROUND(V57*$F$51,0)</f>
        <v>#N/A</v>
      </c>
      <c r="Y57" s="161" t="e">
        <f ca="1">ROUND(U57*$Z$117,0)</f>
        <v>#N/A</v>
      </c>
      <c r="Z57" s="286" t="e">
        <f ca="1">IF(NOT($J57="n/a"),($J57/W57),0)</f>
        <v>#N/A</v>
      </c>
      <c r="AA57" s="285">
        <f t="shared" ref="AA57:AA88" si="4">_xlfn.LOGNORM.DIST($C57, AA$52, AA$53, TRUE)</f>
        <v>1.8192980782667447E-3</v>
      </c>
      <c r="AB57" s="891">
        <f>AA57</f>
        <v>1.8192980782667447E-3</v>
      </c>
      <c r="AC57" s="99">
        <f>AB57</f>
        <v>1.8192980782667447E-3</v>
      </c>
      <c r="AD57" s="99" t="e">
        <f ca="1">ROUND(AB57*$F$52,0)</f>
        <v>#N/A</v>
      </c>
      <c r="AE57" s="161" t="e">
        <f ca="1">ROUND(AA57*$AF$117,0)</f>
        <v>#N/A</v>
      </c>
      <c r="AF57" s="286" t="e">
        <f ca="1">IF(NOT($J57="n/a"),($J57/AC57),0)</f>
        <v>#N/A</v>
      </c>
      <c r="AG57" s="285">
        <f t="shared" ref="AG57:AG88" si="5">_xlfn.LOGNORM.DIST($C57, AG$52, AG$53, TRUE)</f>
        <v>4.0243419626680263E-4</v>
      </c>
      <c r="AH57" s="891">
        <f>AG57</f>
        <v>4.0243419626680263E-4</v>
      </c>
      <c r="AI57" s="99">
        <f>AH57</f>
        <v>4.0243419626680263E-4</v>
      </c>
      <c r="AJ57" s="99" t="e">
        <f t="shared" ref="AJ57:AJ88" ca="1" si="6">ROUND(AH57*$G$50,0)</f>
        <v>#N/A</v>
      </c>
      <c r="AK57" s="161" t="e">
        <f ca="1">ROUND(AG57*$AL$117,0)</f>
        <v>#N/A</v>
      </c>
      <c r="AL57" s="286" t="e">
        <f t="shared" ref="AL57:AL88" ca="1" si="7">IF(NOT($J57="n/a"),($J57/AI57),0)</f>
        <v>#N/A</v>
      </c>
      <c r="AM57" s="285">
        <f t="shared" ref="AM57:AM88" si="8">_xlfn.LOGNORM.DIST($C57, AM$52, AM$53, TRUE)</f>
        <v>1.2053400418065136E-4</v>
      </c>
      <c r="AN57" s="891">
        <f>AM57</f>
        <v>1.2053400418065136E-4</v>
      </c>
      <c r="AO57" s="99">
        <f>AN57</f>
        <v>1.2053400418065136E-4</v>
      </c>
      <c r="AP57" s="99" t="e">
        <f ca="1">ROUND(AN57*$G$52,0)</f>
        <v>#N/A</v>
      </c>
      <c r="AQ57" s="161" t="e">
        <f ca="1">ROUND(AM57*$AR$117,0)</f>
        <v>#N/A</v>
      </c>
      <c r="AR57" s="286" t="e">
        <f t="shared" ref="AR57:AR88" ca="1" si="9">IF(NOT($J57="n/a"),($J57/AO57),0)</f>
        <v>#N/A</v>
      </c>
      <c r="AS57" s="285">
        <f t="shared" ref="AS57:AS88" si="10">_xlfn.LOGNORM.DIST($C57, AS$52, AS$53, TRUE)</f>
        <v>9.2040393931626038E-4</v>
      </c>
      <c r="AT57" s="891">
        <f>AS57</f>
        <v>9.2040393931626038E-4</v>
      </c>
      <c r="AU57" s="99">
        <f>AT57</f>
        <v>9.2040393931626038E-4</v>
      </c>
      <c r="AV57" s="99" t="e">
        <f ca="1">ROUND(AT57*$G$51,0)</f>
        <v>#N/A</v>
      </c>
      <c r="AW57" s="161" t="e">
        <f ca="1">ROUND(AS57*$AX$117,0)</f>
        <v>#N/A</v>
      </c>
      <c r="AX57" s="286" t="e">
        <f t="shared" ref="AX57:AX88" ca="1" si="11">IF(NOT($J57="n/a"),($J57/AU57),0)</f>
        <v>#N/A</v>
      </c>
      <c r="BN57" s="99"/>
    </row>
    <row r="58" spans="2:96" x14ac:dyDescent="0.25">
      <c r="B58" s="104">
        <f>B57+1</f>
        <v>1</v>
      </c>
      <c r="C58" s="94">
        <v>2</v>
      </c>
      <c r="D58" s="94">
        <f t="shared" ref="D58:D116" si="12">_xlfn.LOGNORM.DIST(C58, $E$45, $E$47,TRUE)</f>
        <v>2.0815914939175995E-2</v>
      </c>
      <c r="E58" s="94">
        <f>D58-D57</f>
        <v>2.0090082394347803E-2</v>
      </c>
      <c r="F58" s="94" t="e">
        <f ca="1">IF(AND(H58=0,SUM(H58:H$116)&gt;0),0.0001,H58)</f>
        <v>#N/A</v>
      </c>
      <c r="G58" s="94" t="e">
        <f t="shared" ref="G58:G116" ca="1" si="13">IF(H58&gt;0,H58,IF($E$41=$F$41,R58,IF($E$41=$G$41,AJ58,0)))</f>
        <v>#N/A</v>
      </c>
      <c r="H58" s="94" t="e">
        <f t="shared" ref="H58:H88" ca="1" si="14">LOOKUP(B58,$C$405:$C$600,(OFFSET($C$405:$C$600,0,1)))</f>
        <v>#N/A</v>
      </c>
      <c r="I58" s="161" t="e">
        <f t="shared" ref="I58:I116" ca="1" si="15">IF((NOT(J58="n/a")),J58,IF($E$41=$F$41,S58,IF($E$41=$G$41,AK58,"n/a")))</f>
        <v>#N/A</v>
      </c>
      <c r="J58" s="156" t="e">
        <f ca="1">IF(F58=0,"n/a",ROUND((F58+J57),0))</f>
        <v>#N/A</v>
      </c>
      <c r="K58" s="160" t="e">
        <f t="shared" ref="K58:K116" ca="1" si="16">IF(NOT(J58="n/a"),(J58/D58),0)</f>
        <v>#N/A</v>
      </c>
      <c r="L58" s="101" t="e">
        <f t="shared" ref="L58:L88" ca="1" si="17">IF($E$41=$F$41,AE58,IF($E$41=$G$41,AW58,"n/a"))</f>
        <v>#N/A</v>
      </c>
      <c r="M58" s="101" t="e">
        <f t="shared" ca="1" si="0"/>
        <v>#N/A</v>
      </c>
      <c r="N58" s="101" t="e">
        <f t="shared" ref="N58:N116" ca="1" si="18">IF($E$41=$F$41,AD58,IF($E$41=$G$41,AP58,"n/a"))</f>
        <v>#N/A</v>
      </c>
      <c r="O58" s="285">
        <f t="shared" si="1"/>
        <v>2.0815914939175995E-2</v>
      </c>
      <c r="P58" s="891">
        <f>O58-O57</f>
        <v>2.0090082394347803E-2</v>
      </c>
      <c r="Q58" s="99">
        <f>P58+Q57</f>
        <v>2.0815914939175995E-2</v>
      </c>
      <c r="R58" s="99" t="e">
        <f t="shared" ca="1" si="2"/>
        <v>#N/A</v>
      </c>
      <c r="S58" s="161" t="e">
        <f t="shared" ref="S58:S116" ca="1" si="19">ROUND(O58*$T$117,0)</f>
        <v>#N/A</v>
      </c>
      <c r="T58" s="286" t="e">
        <f t="shared" ref="T58:T116" ca="1" si="20">IF(NOT($J58="n/a"),($J58/Q58),0)</f>
        <v>#N/A</v>
      </c>
      <c r="U58" s="285">
        <f t="shared" si="3"/>
        <v>3.113828977319013E-2</v>
      </c>
      <c r="V58" s="891">
        <f>U58-U57</f>
        <v>3.0591893433092997E-2</v>
      </c>
      <c r="W58" s="99">
        <f>V58+W57</f>
        <v>3.113828977319013E-2</v>
      </c>
      <c r="X58" s="99" t="e">
        <f t="shared" ref="X58:X116" ca="1" si="21">ROUND(V58*$F$51,0)</f>
        <v>#N/A</v>
      </c>
      <c r="Y58" s="161" t="e">
        <f t="shared" ref="Y58:Y116" ca="1" si="22">ROUND(U58*$Z$117,0)</f>
        <v>#N/A</v>
      </c>
      <c r="Z58" s="286" t="e">
        <f t="shared" ref="Z58:Z116" ca="1" si="23">IF(NOT($J58="n/a"),($J58/W58),0)</f>
        <v>#N/A</v>
      </c>
      <c r="AA58" s="285">
        <f t="shared" si="4"/>
        <v>2.0494920131699096E-2</v>
      </c>
      <c r="AB58" s="891">
        <f>AA58-AA57</f>
        <v>1.8675622053432352E-2</v>
      </c>
      <c r="AC58" s="99">
        <f>AB58+AC57</f>
        <v>2.0494920131699096E-2</v>
      </c>
      <c r="AD58" s="99" t="e">
        <f t="shared" ref="AD58:AD116" ca="1" si="24">ROUND(AB58*$F$52,0)</f>
        <v>#N/A</v>
      </c>
      <c r="AE58" s="161" t="e">
        <f t="shared" ref="AE58:AE116" ca="1" si="25">ROUND(AA58*$AF$117,0)</f>
        <v>#N/A</v>
      </c>
      <c r="AF58" s="286" t="e">
        <f t="shared" ref="AF58:AF116" ca="1" si="26">IF(NOT($J58="n/a"),($J58/AC58),0)</f>
        <v>#N/A</v>
      </c>
      <c r="AG58" s="285">
        <f t="shared" si="5"/>
        <v>1.1068587776601078E-2</v>
      </c>
      <c r="AH58" s="891">
        <f>AG58-AG57</f>
        <v>1.0666153580334275E-2</v>
      </c>
      <c r="AI58" s="99">
        <f>AH58+AI57</f>
        <v>1.1068587776601078E-2</v>
      </c>
      <c r="AJ58" s="99" t="e">
        <f t="shared" ca="1" si="6"/>
        <v>#N/A</v>
      </c>
      <c r="AK58" s="161" t="e">
        <f t="shared" ref="AK58:AK116" ca="1" si="27">ROUND(AG58*$AL$117,0)</f>
        <v>#N/A</v>
      </c>
      <c r="AL58" s="286" t="e">
        <f t="shared" ca="1" si="7"/>
        <v>#N/A</v>
      </c>
      <c r="AM58" s="285">
        <f t="shared" si="8"/>
        <v>5.386617729866882E-3</v>
      </c>
      <c r="AN58" s="891">
        <f>AM58-AM57</f>
        <v>5.2660837256862303E-3</v>
      </c>
      <c r="AO58" s="99">
        <f>AN58+AO57</f>
        <v>5.386617729866882E-3</v>
      </c>
      <c r="AP58" s="99" t="e">
        <f t="shared" ref="AP58:AP88" ca="1" si="28">ROUND(AN58*$G$52,0)</f>
        <v>#N/A</v>
      </c>
      <c r="AQ58" s="161" t="e">
        <f t="shared" ref="AQ58:AQ116" ca="1" si="29">ROUND(AM58*$AR$117,0)</f>
        <v>#N/A</v>
      </c>
      <c r="AR58" s="286" t="e">
        <f t="shared" ca="1" si="9"/>
        <v>#N/A</v>
      </c>
      <c r="AS58" s="285">
        <f t="shared" si="10"/>
        <v>2.1437372505808173E-2</v>
      </c>
      <c r="AT58" s="891">
        <f>AS58-AS57</f>
        <v>2.0516968566491912E-2</v>
      </c>
      <c r="AU58" s="99">
        <f>AT58+AU57</f>
        <v>2.1437372505808173E-2</v>
      </c>
      <c r="AV58" s="99" t="e">
        <f t="shared" ref="AV58:AV116" ca="1" si="30">ROUND(AT58*$G$51,0)</f>
        <v>#N/A</v>
      </c>
      <c r="AW58" s="161" t="e">
        <f t="shared" ref="AW58:AW116" ca="1" si="31">ROUND(AS58*$AX$117,0)</f>
        <v>#N/A</v>
      </c>
      <c r="AX58" s="286" t="e">
        <f t="shared" ca="1" si="11"/>
        <v>#N/A</v>
      </c>
      <c r="BN58" s="99"/>
    </row>
    <row r="59" spans="2:96" x14ac:dyDescent="0.25">
      <c r="B59" s="104">
        <f t="shared" ref="B59:B116" si="32">B58+1</f>
        <v>2</v>
      </c>
      <c r="C59" s="94">
        <v>3</v>
      </c>
      <c r="D59" s="94">
        <f t="shared" si="12"/>
        <v>8.5932935092176102E-2</v>
      </c>
      <c r="E59" s="94">
        <f>D59-D58</f>
        <v>6.511702015300011E-2</v>
      </c>
      <c r="F59" s="94" t="e">
        <f ca="1">IF(AND(H59=0,SUM(H59:H$116)&gt;0),0.0001,H59)</f>
        <v>#N/A</v>
      </c>
      <c r="G59" s="94" t="e">
        <f t="shared" ca="1" si="13"/>
        <v>#N/A</v>
      </c>
      <c r="H59" s="94" t="e">
        <f t="shared" ca="1" si="14"/>
        <v>#N/A</v>
      </c>
      <c r="I59" s="161" t="e">
        <f t="shared" ca="1" si="15"/>
        <v>#N/A</v>
      </c>
      <c r="J59" s="156" t="e">
        <f t="shared" ref="J59:J116" ca="1" si="33">IF(F59=0,"n/a",ROUND((F59+J58),0))</f>
        <v>#N/A</v>
      </c>
      <c r="K59" s="160" t="e">
        <f t="shared" ca="1" si="16"/>
        <v>#N/A</v>
      </c>
      <c r="L59" s="101" t="e">
        <f ca="1">IF($E$41=$F$41,AE59,IF($E$41=$G$41,AW59,"n/a"))</f>
        <v>#N/A</v>
      </c>
      <c r="M59" s="101" t="e">
        <f t="shared" ca="1" si="0"/>
        <v>#N/A</v>
      </c>
      <c r="N59" s="101" t="e">
        <f t="shared" ca="1" si="18"/>
        <v>#N/A</v>
      </c>
      <c r="O59" s="285">
        <f t="shared" si="1"/>
        <v>8.5932935092176102E-2</v>
      </c>
      <c r="P59" s="891">
        <f t="shared" ref="P59:P116" si="34">O59-O58</f>
        <v>6.511702015300011E-2</v>
      </c>
      <c r="Q59" s="99">
        <f t="shared" ref="Q59:Q116" si="35">P59+Q58</f>
        <v>8.5932935092176102E-2</v>
      </c>
      <c r="R59" s="99" t="e">
        <f t="shared" ca="1" si="2"/>
        <v>#N/A</v>
      </c>
      <c r="S59" s="161" t="e">
        <f t="shared" ca="1" si="19"/>
        <v>#N/A</v>
      </c>
      <c r="T59" s="286" t="e">
        <f t="shared" ca="1" si="20"/>
        <v>#N/A</v>
      </c>
      <c r="U59" s="285">
        <f t="shared" si="3"/>
        <v>0.14808150857703842</v>
      </c>
      <c r="V59" s="891">
        <f t="shared" ref="V59:V116" si="36">U59-U58</f>
        <v>0.11694321880384828</v>
      </c>
      <c r="W59" s="99">
        <f t="shared" ref="W59:W116" si="37">V59+W58</f>
        <v>0.14808150857703842</v>
      </c>
      <c r="X59" s="99" t="e">
        <f ca="1">ROUND(V59*$F$51,0)</f>
        <v>#N/A</v>
      </c>
      <c r="Y59" s="161" t="e">
        <f t="shared" ca="1" si="22"/>
        <v>#N/A</v>
      </c>
      <c r="Z59" s="286" t="e">
        <f t="shared" ca="1" si="23"/>
        <v>#N/A</v>
      </c>
      <c r="AA59" s="285">
        <f t="shared" si="4"/>
        <v>6.2016203114159715E-2</v>
      </c>
      <c r="AB59" s="891">
        <f t="shared" ref="AB59:AB116" si="38">AA59-AA58</f>
        <v>4.1521282982460619E-2</v>
      </c>
      <c r="AC59" s="99">
        <f t="shared" ref="AC59:AC116" si="39">AB59+AC58</f>
        <v>6.2016203114159715E-2</v>
      </c>
      <c r="AD59" s="99" t="e">
        <f ca="1">ROUND(AB59*$F$52,0)</f>
        <v>#N/A</v>
      </c>
      <c r="AE59" s="161" t="e">
        <f t="shared" ca="1" si="25"/>
        <v>#N/A</v>
      </c>
      <c r="AF59" s="286" t="e">
        <f t="shared" ca="1" si="26"/>
        <v>#N/A</v>
      </c>
      <c r="AG59" s="285">
        <f t="shared" si="5"/>
        <v>4.7844067504701659E-2</v>
      </c>
      <c r="AH59" s="891">
        <f>AG59-AG58</f>
        <v>3.677547972810058E-2</v>
      </c>
      <c r="AI59" s="99">
        <f t="shared" ref="AI59:AI116" si="40">AH59+AI58</f>
        <v>4.7844067504701659E-2</v>
      </c>
      <c r="AJ59" s="99" t="e">
        <f t="shared" ca="1" si="6"/>
        <v>#N/A</v>
      </c>
      <c r="AK59" s="161" t="e">
        <f t="shared" ca="1" si="27"/>
        <v>#N/A</v>
      </c>
      <c r="AL59" s="286" t="e">
        <f t="shared" ca="1" si="7"/>
        <v>#N/A</v>
      </c>
      <c r="AM59" s="285">
        <f t="shared" si="8"/>
        <v>2.9120665279248687E-2</v>
      </c>
      <c r="AN59" s="891">
        <f t="shared" ref="AN59:AN116" si="41">AM59-AM58</f>
        <v>2.3734047549381805E-2</v>
      </c>
      <c r="AO59" s="99">
        <f t="shared" ref="AO59:AO116" si="42">AN59+AO58</f>
        <v>2.9120665279248687E-2</v>
      </c>
      <c r="AP59" s="99" t="e">
        <f t="shared" ca="1" si="28"/>
        <v>#N/A</v>
      </c>
      <c r="AQ59" s="161" t="e">
        <f t="shared" ca="1" si="29"/>
        <v>#N/A</v>
      </c>
      <c r="AR59" s="286" t="e">
        <f t="shared" ca="1" si="9"/>
        <v>#N/A</v>
      </c>
      <c r="AS59" s="285">
        <f t="shared" si="10"/>
        <v>8.2659246395361805E-2</v>
      </c>
      <c r="AT59" s="891">
        <f t="shared" ref="AT59:AT116" si="43">AS59-AS58</f>
        <v>6.1221873889553635E-2</v>
      </c>
      <c r="AU59" s="99">
        <f t="shared" ref="AU59:AU116" si="44">AT59+AU58</f>
        <v>8.2659246395361805E-2</v>
      </c>
      <c r="AV59" s="99" t="e">
        <f t="shared" ca="1" si="30"/>
        <v>#N/A</v>
      </c>
      <c r="AW59" s="161" t="e">
        <f t="shared" ca="1" si="31"/>
        <v>#N/A</v>
      </c>
      <c r="AX59" s="286" t="e">
        <f t="shared" ca="1" si="11"/>
        <v>#N/A</v>
      </c>
      <c r="BN59" s="99"/>
    </row>
    <row r="60" spans="2:96" x14ac:dyDescent="0.25">
      <c r="B60" s="104">
        <f t="shared" si="32"/>
        <v>3</v>
      </c>
      <c r="C60" s="94">
        <v>4</v>
      </c>
      <c r="D60" s="94">
        <f t="shared" si="12"/>
        <v>0.18668270926213065</v>
      </c>
      <c r="E60" s="94">
        <f t="shared" ref="E60:E116" si="45">D60-D59</f>
        <v>0.10074977416995455</v>
      </c>
      <c r="F60" s="94" t="e">
        <f ca="1">IF(AND(H60=0,SUM(H60:H$116)&gt;0),0.0001,H60)</f>
        <v>#N/A</v>
      </c>
      <c r="G60" s="94" t="e">
        <f t="shared" ca="1" si="13"/>
        <v>#N/A</v>
      </c>
      <c r="H60" s="94" t="e">
        <f t="shared" ca="1" si="14"/>
        <v>#N/A</v>
      </c>
      <c r="I60" s="161" t="e">
        <f t="shared" ca="1" si="15"/>
        <v>#N/A</v>
      </c>
      <c r="J60" s="156" t="e">
        <f t="shared" ca="1" si="33"/>
        <v>#N/A</v>
      </c>
      <c r="K60" s="160" t="e">
        <f t="shared" ca="1" si="16"/>
        <v>#N/A</v>
      </c>
      <c r="L60" s="101" t="e">
        <f t="shared" ca="1" si="17"/>
        <v>#N/A</v>
      </c>
      <c r="M60" s="101" t="e">
        <f t="shared" ca="1" si="0"/>
        <v>#N/A</v>
      </c>
      <c r="N60" s="101" t="e">
        <f t="shared" ca="1" si="18"/>
        <v>#N/A</v>
      </c>
      <c r="O60" s="285">
        <f t="shared" si="1"/>
        <v>0.18668270926213065</v>
      </c>
      <c r="P60" s="891">
        <f t="shared" si="34"/>
        <v>0.10074977416995455</v>
      </c>
      <c r="Q60" s="99">
        <f t="shared" si="35"/>
        <v>0.18668270926213065</v>
      </c>
      <c r="R60" s="99" t="e">
        <f t="shared" ca="1" si="2"/>
        <v>#N/A</v>
      </c>
      <c r="S60" s="161" t="e">
        <f t="shared" ca="1" si="19"/>
        <v>#N/A</v>
      </c>
      <c r="T60" s="286" t="e">
        <f t="shared" ca="1" si="20"/>
        <v>#N/A</v>
      </c>
      <c r="U60" s="285">
        <f t="shared" si="3"/>
        <v>0.32162331297825281</v>
      </c>
      <c r="V60" s="891">
        <f t="shared" si="36"/>
        <v>0.17354180440121439</v>
      </c>
      <c r="W60" s="99">
        <f t="shared" si="37"/>
        <v>0.32162331297825281</v>
      </c>
      <c r="X60" s="99" t="e">
        <f t="shared" ca="1" si="21"/>
        <v>#N/A</v>
      </c>
      <c r="Y60" s="161" t="e">
        <f t="shared" ca="1" si="22"/>
        <v>#N/A</v>
      </c>
      <c r="Z60" s="286" t="e">
        <f t="shared" ca="1" si="23"/>
        <v>#N/A</v>
      </c>
      <c r="AA60" s="285">
        <f t="shared" si="4"/>
        <v>0.11912719359576399</v>
      </c>
      <c r="AB60" s="891">
        <f t="shared" si="38"/>
        <v>5.7110990481604271E-2</v>
      </c>
      <c r="AC60" s="99">
        <f t="shared" si="39"/>
        <v>0.11912719359576399</v>
      </c>
      <c r="AD60" s="99" t="e">
        <f t="shared" ca="1" si="24"/>
        <v>#N/A</v>
      </c>
      <c r="AE60" s="161" t="e">
        <f t="shared" ca="1" si="25"/>
        <v>#N/A</v>
      </c>
      <c r="AF60" s="286" t="e">
        <f t="shared" ca="1" si="26"/>
        <v>#N/A</v>
      </c>
      <c r="AG60" s="285">
        <f t="shared" si="5"/>
        <v>0.11030706041511759</v>
      </c>
      <c r="AH60" s="891">
        <f t="shared" ref="AH60:AH116" si="46">AG60-AG59</f>
        <v>6.2462992910415932E-2</v>
      </c>
      <c r="AI60" s="99">
        <f t="shared" si="40"/>
        <v>0.11030706041511759</v>
      </c>
      <c r="AJ60" s="99" t="e">
        <f t="shared" ca="1" si="6"/>
        <v>#N/A</v>
      </c>
      <c r="AK60" s="161" t="e">
        <f t="shared" ca="1" si="27"/>
        <v>#N/A</v>
      </c>
      <c r="AL60" s="286" t="e">
        <f t="shared" ca="1" si="7"/>
        <v>#N/A</v>
      </c>
      <c r="AM60" s="285">
        <f t="shared" si="8"/>
        <v>7.6592394814127551E-2</v>
      </c>
      <c r="AN60" s="891">
        <f t="shared" si="41"/>
        <v>4.7471729534878868E-2</v>
      </c>
      <c r="AO60" s="99">
        <f t="shared" si="42"/>
        <v>7.6592394814127551E-2</v>
      </c>
      <c r="AP60" s="99" t="e">
        <f t="shared" ca="1" si="28"/>
        <v>#N/A</v>
      </c>
      <c r="AQ60" s="161" t="e">
        <f t="shared" ca="1" si="29"/>
        <v>#N/A</v>
      </c>
      <c r="AR60" s="286" t="e">
        <f t="shared" ca="1" si="9"/>
        <v>#N/A</v>
      </c>
      <c r="AS60" s="285">
        <f t="shared" si="10"/>
        <v>0.1748750646019718</v>
      </c>
      <c r="AT60" s="891">
        <f t="shared" si="43"/>
        <v>9.2215818206609998E-2</v>
      </c>
      <c r="AU60" s="99">
        <f t="shared" si="44"/>
        <v>0.1748750646019718</v>
      </c>
      <c r="AV60" s="99" t="e">
        <f t="shared" ca="1" si="30"/>
        <v>#N/A</v>
      </c>
      <c r="AW60" s="161" t="e">
        <f t="shared" ca="1" si="31"/>
        <v>#N/A</v>
      </c>
      <c r="AX60" s="286" t="e">
        <f t="shared" ca="1" si="11"/>
        <v>#N/A</v>
      </c>
      <c r="AZ60" s="465" t="s">
        <v>355</v>
      </c>
      <c r="BA60" s="275"/>
      <c r="BB60" s="466"/>
      <c r="BN60" s="99"/>
    </row>
    <row r="61" spans="2:96" x14ac:dyDescent="0.25">
      <c r="B61" s="104">
        <f t="shared" si="32"/>
        <v>4</v>
      </c>
      <c r="C61" s="94">
        <v>5</v>
      </c>
      <c r="D61" s="94">
        <f t="shared" si="12"/>
        <v>0.30120521839600978</v>
      </c>
      <c r="E61" s="94">
        <f t="shared" si="45"/>
        <v>0.11452250913387912</v>
      </c>
      <c r="F61" s="94" t="e">
        <f ca="1">IF(AND(H61=0,SUM(H61:H$116)&gt;0),0.0001,H61)</f>
        <v>#N/A</v>
      </c>
      <c r="G61" s="94" t="e">
        <f t="shared" ca="1" si="13"/>
        <v>#N/A</v>
      </c>
      <c r="H61" s="94" t="e">
        <f t="shared" ca="1" si="14"/>
        <v>#N/A</v>
      </c>
      <c r="I61" s="161" t="e">
        <f t="shared" ca="1" si="15"/>
        <v>#N/A</v>
      </c>
      <c r="J61" s="156" t="e">
        <f t="shared" ca="1" si="33"/>
        <v>#N/A</v>
      </c>
      <c r="K61" s="160" t="e">
        <f t="shared" ca="1" si="16"/>
        <v>#N/A</v>
      </c>
      <c r="L61" s="101" t="e">
        <f t="shared" ca="1" si="17"/>
        <v>#N/A</v>
      </c>
      <c r="M61" s="101" t="e">
        <f t="shared" ca="1" si="0"/>
        <v>#N/A</v>
      </c>
      <c r="N61" s="101" t="e">
        <f t="shared" ca="1" si="18"/>
        <v>#N/A</v>
      </c>
      <c r="O61" s="285">
        <f t="shared" si="1"/>
        <v>0.30120521839600978</v>
      </c>
      <c r="P61" s="891">
        <f t="shared" si="34"/>
        <v>0.11452250913387912</v>
      </c>
      <c r="Q61" s="99">
        <f>P61+Q60</f>
        <v>0.30120521839600978</v>
      </c>
      <c r="R61" s="99" t="e">
        <f t="shared" ca="1" si="2"/>
        <v>#N/A</v>
      </c>
      <c r="S61" s="161" t="e">
        <f t="shared" ca="1" si="19"/>
        <v>#N/A</v>
      </c>
      <c r="T61" s="286" t="e">
        <f t="shared" ca="1" si="20"/>
        <v>#N/A</v>
      </c>
      <c r="U61" s="285">
        <f t="shared" si="3"/>
        <v>0.49517594241797264</v>
      </c>
      <c r="V61" s="891">
        <f t="shared" si="36"/>
        <v>0.17355262943971983</v>
      </c>
      <c r="W61" s="99">
        <f t="shared" si="37"/>
        <v>0.49517594241797264</v>
      </c>
      <c r="X61" s="99" t="e">
        <f t="shared" ca="1" si="21"/>
        <v>#N/A</v>
      </c>
      <c r="Y61" s="161" t="e">
        <f t="shared" ca="1" si="22"/>
        <v>#N/A</v>
      </c>
      <c r="Z61" s="286" t="e">
        <f t="shared" ca="1" si="23"/>
        <v>#N/A</v>
      </c>
      <c r="AA61" s="285">
        <f t="shared" si="4"/>
        <v>0.18376016732769951</v>
      </c>
      <c r="AB61" s="891">
        <f t="shared" si="38"/>
        <v>6.4632973731935522E-2</v>
      </c>
      <c r="AC61" s="99">
        <f t="shared" si="39"/>
        <v>0.18376016732769951</v>
      </c>
      <c r="AD61" s="99" t="e">
        <f t="shared" ca="1" si="24"/>
        <v>#N/A</v>
      </c>
      <c r="AE61" s="161" t="e">
        <f t="shared" ca="1" si="25"/>
        <v>#N/A</v>
      </c>
      <c r="AF61" s="286" t="e">
        <f t="shared" ca="1" si="26"/>
        <v>#N/A</v>
      </c>
      <c r="AG61" s="285">
        <f t="shared" si="5"/>
        <v>0.18871214820336232</v>
      </c>
      <c r="AH61" s="891">
        <f t="shared" si="46"/>
        <v>7.8405087788244732E-2</v>
      </c>
      <c r="AI61" s="99">
        <f t="shared" si="40"/>
        <v>0.18871214820336232</v>
      </c>
      <c r="AJ61" s="99" t="e">
        <f t="shared" ca="1" si="6"/>
        <v>#N/A</v>
      </c>
      <c r="AK61" s="161" t="e">
        <f t="shared" ca="1" si="27"/>
        <v>#N/A</v>
      </c>
      <c r="AL61" s="286" t="e">
        <f t="shared" ca="1" si="7"/>
        <v>#N/A</v>
      </c>
      <c r="AM61" s="285">
        <f t="shared" si="8"/>
        <v>0.14291856036628878</v>
      </c>
      <c r="AN61" s="891">
        <f t="shared" si="41"/>
        <v>6.6326165552161226E-2</v>
      </c>
      <c r="AO61" s="99">
        <f t="shared" si="42"/>
        <v>0.14291856036628878</v>
      </c>
      <c r="AP61" s="99" t="e">
        <f t="shared" ca="1" si="28"/>
        <v>#N/A</v>
      </c>
      <c r="AQ61" s="161" t="e">
        <f t="shared" ca="1" si="29"/>
        <v>#N/A</v>
      </c>
      <c r="AR61" s="286" t="e">
        <f t="shared" ca="1" si="9"/>
        <v>#N/A</v>
      </c>
      <c r="AS61" s="285">
        <f t="shared" si="10"/>
        <v>0.27953634595058596</v>
      </c>
      <c r="AT61" s="891">
        <f t="shared" si="43"/>
        <v>0.10466128134861416</v>
      </c>
      <c r="AU61" s="99">
        <f t="shared" si="44"/>
        <v>0.27953634595058596</v>
      </c>
      <c r="AV61" s="99" t="e">
        <f t="shared" ca="1" si="30"/>
        <v>#N/A</v>
      </c>
      <c r="AW61" s="161" t="e">
        <f t="shared" ca="1" si="31"/>
        <v>#N/A</v>
      </c>
      <c r="AX61" s="286" t="e">
        <f t="shared" ca="1" si="11"/>
        <v>#N/A</v>
      </c>
      <c r="AZ61" s="467" t="str">
        <f>CONCATENATE("Incubation Distribution: ",E41,";")</f>
        <v>Incubation Distribution: Wilkening;</v>
      </c>
      <c r="BA61" s="99"/>
      <c r="BB61" s="468"/>
      <c r="BN61" s="99"/>
      <c r="CK61" s="603"/>
      <c r="CL61" s="604"/>
      <c r="CM61" s="172"/>
      <c r="CN61" s="172"/>
      <c r="CO61" s="172"/>
      <c r="CP61" s="172"/>
      <c r="CQ61" s="172"/>
      <c r="CR61" s="99"/>
    </row>
    <row r="62" spans="2:96" x14ac:dyDescent="0.25">
      <c r="B62" s="104">
        <f t="shared" si="32"/>
        <v>5</v>
      </c>
      <c r="C62" s="94">
        <v>6</v>
      </c>
      <c r="D62" s="94">
        <f t="shared" si="12"/>
        <v>0.41323222532035248</v>
      </c>
      <c r="E62" s="94">
        <f t="shared" si="45"/>
        <v>0.1120270069243427</v>
      </c>
      <c r="F62" s="94" t="e">
        <f ca="1">IF(AND(H62=0,SUM(H62:H$116)&gt;0),0.0001,H62)</f>
        <v>#N/A</v>
      </c>
      <c r="G62" s="94" t="e">
        <f t="shared" ca="1" si="13"/>
        <v>#N/A</v>
      </c>
      <c r="H62" s="94" t="e">
        <f t="shared" ca="1" si="14"/>
        <v>#N/A</v>
      </c>
      <c r="I62" s="161" t="e">
        <f t="shared" ca="1" si="15"/>
        <v>#N/A</v>
      </c>
      <c r="J62" s="156" t="e">
        <f t="shared" ca="1" si="33"/>
        <v>#N/A</v>
      </c>
      <c r="K62" s="160" t="e">
        <f t="shared" ca="1" si="16"/>
        <v>#N/A</v>
      </c>
      <c r="L62" s="101" t="e">
        <f t="shared" ca="1" si="17"/>
        <v>#N/A</v>
      </c>
      <c r="M62" s="101" t="e">
        <f t="shared" ca="1" si="0"/>
        <v>#N/A</v>
      </c>
      <c r="N62" s="101" t="e">
        <f t="shared" ca="1" si="18"/>
        <v>#N/A</v>
      </c>
      <c r="O62" s="285">
        <f t="shared" si="1"/>
        <v>0.41323222532035248</v>
      </c>
      <c r="P62" s="891">
        <f t="shared" si="34"/>
        <v>0.1120270069243427</v>
      </c>
      <c r="Q62" s="99">
        <f t="shared" si="35"/>
        <v>0.41323222532035248</v>
      </c>
      <c r="R62" s="99" t="e">
        <f t="shared" ca="1" si="2"/>
        <v>#N/A</v>
      </c>
      <c r="S62" s="161" t="e">
        <f t="shared" ca="1" si="19"/>
        <v>#N/A</v>
      </c>
      <c r="T62" s="286" t="e">
        <f t="shared" ca="1" si="20"/>
        <v>#N/A</v>
      </c>
      <c r="U62" s="285">
        <f t="shared" si="3"/>
        <v>0.6392519961483123</v>
      </c>
      <c r="V62" s="891">
        <f t="shared" si="36"/>
        <v>0.14407605373033966</v>
      </c>
      <c r="W62" s="99">
        <f t="shared" si="37"/>
        <v>0.6392519961483123</v>
      </c>
      <c r="X62" s="99" t="e">
        <f t="shared" ca="1" si="21"/>
        <v>#N/A</v>
      </c>
      <c r="Y62" s="161" t="e">
        <f t="shared" ca="1" si="22"/>
        <v>#N/A</v>
      </c>
      <c r="Z62" s="286" t="e">
        <f t="shared" ca="1" si="23"/>
        <v>#N/A</v>
      </c>
      <c r="AA62" s="285">
        <f t="shared" si="4"/>
        <v>0.25022091913189792</v>
      </c>
      <c r="AB62" s="891">
        <f t="shared" si="38"/>
        <v>6.6460751804198415E-2</v>
      </c>
      <c r="AC62" s="99">
        <f t="shared" si="39"/>
        <v>0.25022091913189792</v>
      </c>
      <c r="AD62" s="99" t="e">
        <f t="shared" ca="1" si="24"/>
        <v>#N/A</v>
      </c>
      <c r="AE62" s="161" t="e">
        <f t="shared" ca="1" si="25"/>
        <v>#N/A</v>
      </c>
      <c r="AF62" s="286" t="e">
        <f t="shared" ca="1" si="26"/>
        <v>#N/A</v>
      </c>
      <c r="AG62" s="285">
        <f t="shared" si="5"/>
        <v>0.27324843684116518</v>
      </c>
      <c r="AH62" s="891">
        <f t="shared" si="46"/>
        <v>8.4536288637802853E-2</v>
      </c>
      <c r="AI62" s="99">
        <f t="shared" si="40"/>
        <v>0.27324843684116518</v>
      </c>
      <c r="AJ62" s="99" t="e">
        <f t="shared" ca="1" si="6"/>
        <v>#N/A</v>
      </c>
      <c r="AK62" s="161" t="e">
        <f t="shared" ca="1" si="27"/>
        <v>#N/A</v>
      </c>
      <c r="AL62" s="286" t="e">
        <f t="shared" ca="1" si="7"/>
        <v>#N/A</v>
      </c>
      <c r="AM62" s="285">
        <f t="shared" si="8"/>
        <v>0.21997439984230077</v>
      </c>
      <c r="AN62" s="891">
        <f t="shared" si="41"/>
        <v>7.7055839476011995E-2</v>
      </c>
      <c r="AO62" s="99">
        <f t="shared" si="42"/>
        <v>0.21997439984230077</v>
      </c>
      <c r="AP62" s="99" t="e">
        <f t="shared" ca="1" si="28"/>
        <v>#N/A</v>
      </c>
      <c r="AQ62" s="161" t="e">
        <f t="shared" ca="1" si="29"/>
        <v>#N/A</v>
      </c>
      <c r="AR62" s="286" t="e">
        <f t="shared" ca="1" si="9"/>
        <v>#N/A</v>
      </c>
      <c r="AS62" s="285">
        <f t="shared" si="10"/>
        <v>0.38302320069565066</v>
      </c>
      <c r="AT62" s="891">
        <f t="shared" si="43"/>
        <v>0.10348685474506469</v>
      </c>
      <c r="AU62" s="99">
        <f t="shared" si="44"/>
        <v>0.38302320069565066</v>
      </c>
      <c r="AV62" s="99" t="e">
        <f t="shared" ca="1" si="30"/>
        <v>#N/A</v>
      </c>
      <c r="AW62" s="161" t="e">
        <f t="shared" ca="1" si="31"/>
        <v>#N/A</v>
      </c>
      <c r="AX62" s="286" t="e">
        <f t="shared" ca="1" si="11"/>
        <v>#N/A</v>
      </c>
      <c r="AZ62" s="467" t="str">
        <f>CONCATENATE("Case Assignment Method: ",BA64)</f>
        <v>Case Assignment Method: Base Case</v>
      </c>
      <c r="BA62" s="99"/>
      <c r="BB62" s="468"/>
      <c r="BN62" s="99"/>
      <c r="CK62" s="354"/>
      <c r="CL62" s="354"/>
      <c r="CM62" s="355"/>
      <c r="CN62" s="355"/>
      <c r="CO62" s="352"/>
      <c r="CP62" s="352"/>
      <c r="CQ62" s="352"/>
      <c r="CR62" s="353"/>
    </row>
    <row r="63" spans="2:96" x14ac:dyDescent="0.25">
      <c r="B63" s="104">
        <f t="shared" si="32"/>
        <v>6</v>
      </c>
      <c r="C63" s="94">
        <v>7</v>
      </c>
      <c r="D63" s="94">
        <f t="shared" si="12"/>
        <v>0.51429688643616012</v>
      </c>
      <c r="E63" s="94">
        <f t="shared" si="45"/>
        <v>0.10106466111580764</v>
      </c>
      <c r="F63" s="94" t="e">
        <f ca="1">IF(AND(H63=0,SUM(H63:H$116)&gt;0),0.0001,H63)</f>
        <v>#N/A</v>
      </c>
      <c r="G63" s="94" t="e">
        <f t="shared" ca="1" si="13"/>
        <v>#N/A</v>
      </c>
      <c r="H63" s="94" t="e">
        <f t="shared" ca="1" si="14"/>
        <v>#N/A</v>
      </c>
      <c r="I63" s="161" t="e">
        <f t="shared" ca="1" si="15"/>
        <v>#N/A</v>
      </c>
      <c r="J63" s="156" t="e">
        <f t="shared" ca="1" si="33"/>
        <v>#N/A</v>
      </c>
      <c r="K63" s="160" t="e">
        <f t="shared" ca="1" si="16"/>
        <v>#N/A</v>
      </c>
      <c r="L63" s="101" t="e">
        <f t="shared" ca="1" si="17"/>
        <v>#N/A</v>
      </c>
      <c r="M63" s="101" t="e">
        <f t="shared" ca="1" si="0"/>
        <v>#N/A</v>
      </c>
      <c r="N63" s="101" t="e">
        <f t="shared" ca="1" si="18"/>
        <v>#N/A</v>
      </c>
      <c r="O63" s="285">
        <f t="shared" si="1"/>
        <v>0.51429688643616012</v>
      </c>
      <c r="P63" s="891">
        <f t="shared" si="34"/>
        <v>0.10106466111580764</v>
      </c>
      <c r="Q63" s="99">
        <f t="shared" si="35"/>
        <v>0.51429688643616012</v>
      </c>
      <c r="R63" s="99" t="e">
        <f t="shared" ca="1" si="2"/>
        <v>#N/A</v>
      </c>
      <c r="S63" s="161" t="e">
        <f t="shared" ca="1" si="19"/>
        <v>#N/A</v>
      </c>
      <c r="T63" s="286" t="e">
        <f t="shared" ca="1" si="20"/>
        <v>#N/A</v>
      </c>
      <c r="U63" s="285">
        <f t="shared" si="3"/>
        <v>0.74795454258010907</v>
      </c>
      <c r="V63" s="891">
        <f t="shared" si="36"/>
        <v>0.10870254643179678</v>
      </c>
      <c r="W63" s="99">
        <f t="shared" si="37"/>
        <v>0.74795454258010907</v>
      </c>
      <c r="X63" s="99" t="e">
        <f t="shared" ca="1" si="21"/>
        <v>#N/A</v>
      </c>
      <c r="Y63" s="161" t="e">
        <f t="shared" ca="1" si="22"/>
        <v>#N/A</v>
      </c>
      <c r="Z63" s="286" t="e">
        <f t="shared" ca="1" si="23"/>
        <v>#N/A</v>
      </c>
      <c r="AA63" s="285">
        <f t="shared" si="4"/>
        <v>0.3150495890597626</v>
      </c>
      <c r="AB63" s="891">
        <f t="shared" si="38"/>
        <v>6.4828669927864679E-2</v>
      </c>
      <c r="AC63" s="99">
        <f t="shared" si="39"/>
        <v>0.3150495890597626</v>
      </c>
      <c r="AD63" s="99" t="e">
        <f t="shared" ca="1" si="24"/>
        <v>#N/A</v>
      </c>
      <c r="AE63" s="161" t="e">
        <f t="shared" ca="1" si="25"/>
        <v>#N/A</v>
      </c>
      <c r="AF63" s="286" t="e">
        <f t="shared" ca="1" si="26"/>
        <v>#N/A</v>
      </c>
      <c r="AG63" s="285">
        <f t="shared" si="5"/>
        <v>0.35696230813298058</v>
      </c>
      <c r="AH63" s="891">
        <f t="shared" si="46"/>
        <v>8.37138712918154E-2</v>
      </c>
      <c r="AI63" s="99">
        <f t="shared" si="40"/>
        <v>0.35696230813298058</v>
      </c>
      <c r="AJ63" s="99" t="e">
        <f t="shared" ca="1" si="6"/>
        <v>#N/A</v>
      </c>
      <c r="AK63" s="161" t="e">
        <f t="shared" ca="1" si="27"/>
        <v>#N/A</v>
      </c>
      <c r="AL63" s="286" t="e">
        <f t="shared" ca="1" si="7"/>
        <v>#N/A</v>
      </c>
      <c r="AM63" s="285">
        <f t="shared" si="8"/>
        <v>0.30054108862909085</v>
      </c>
      <c r="AN63" s="891">
        <f t="shared" si="41"/>
        <v>8.0566688786790075E-2</v>
      </c>
      <c r="AO63" s="99">
        <f t="shared" si="42"/>
        <v>0.30054108862909085</v>
      </c>
      <c r="AP63" s="99" t="e">
        <f t="shared" ca="1" si="28"/>
        <v>#N/A</v>
      </c>
      <c r="AQ63" s="161" t="e">
        <f t="shared" ca="1" si="29"/>
        <v>#N/A</v>
      </c>
      <c r="AR63" s="286" t="e">
        <f t="shared" ca="1" si="9"/>
        <v>#N/A</v>
      </c>
      <c r="AS63" s="285">
        <f t="shared" si="10"/>
        <v>0.47799951044108691</v>
      </c>
      <c r="AT63" s="891">
        <f t="shared" si="43"/>
        <v>9.4976309745436249E-2</v>
      </c>
      <c r="AU63" s="99">
        <f t="shared" si="44"/>
        <v>0.47799951044108691</v>
      </c>
      <c r="AV63" s="99" t="e">
        <f t="shared" ca="1" si="30"/>
        <v>#N/A</v>
      </c>
      <c r="AW63" s="161" t="e">
        <f t="shared" ca="1" si="31"/>
        <v>#N/A</v>
      </c>
      <c r="AX63" s="286" t="e">
        <f t="shared" ca="1" si="11"/>
        <v>#N/A</v>
      </c>
      <c r="AZ63" s="467"/>
      <c r="BA63" s="99"/>
      <c r="BB63" s="468"/>
      <c r="BN63" s="99"/>
      <c r="CK63" s="353"/>
      <c r="CL63" s="353"/>
      <c r="CM63" s="353"/>
      <c r="CN63" s="353"/>
      <c r="CO63" s="353"/>
      <c r="CP63" s="353"/>
      <c r="CQ63" s="353"/>
      <c r="CR63" s="353"/>
    </row>
    <row r="64" spans="2:96" x14ac:dyDescent="0.25">
      <c r="B64" s="104">
        <f t="shared" si="32"/>
        <v>7</v>
      </c>
      <c r="C64" s="94">
        <v>8</v>
      </c>
      <c r="D64" s="94">
        <f t="shared" si="12"/>
        <v>0.60133632067686027</v>
      </c>
      <c r="E64" s="94">
        <f t="shared" si="45"/>
        <v>8.7039434240700153E-2</v>
      </c>
      <c r="F64" s="94" t="e">
        <f ca="1">IF(AND(H64=0,SUM(H64:H$116)&gt;0),0.0001,H64)</f>
        <v>#N/A</v>
      </c>
      <c r="G64" s="94" t="e">
        <f t="shared" ca="1" si="13"/>
        <v>#N/A</v>
      </c>
      <c r="H64" s="94" t="e">
        <f t="shared" ca="1" si="14"/>
        <v>#N/A</v>
      </c>
      <c r="I64" s="161" t="e">
        <f t="shared" ca="1" si="15"/>
        <v>#N/A</v>
      </c>
      <c r="J64" s="156" t="e">
        <f t="shared" ca="1" si="33"/>
        <v>#N/A</v>
      </c>
      <c r="K64" s="160" t="e">
        <f t="shared" ca="1" si="16"/>
        <v>#N/A</v>
      </c>
      <c r="L64" s="101" t="e">
        <f t="shared" ca="1" si="17"/>
        <v>#N/A</v>
      </c>
      <c r="M64" s="101" t="e">
        <f t="shared" ca="1" si="0"/>
        <v>#N/A</v>
      </c>
      <c r="N64" s="101" t="e">
        <f t="shared" ca="1" si="18"/>
        <v>#N/A</v>
      </c>
      <c r="O64" s="285">
        <f t="shared" si="1"/>
        <v>0.60133632067686027</v>
      </c>
      <c r="P64" s="891">
        <f t="shared" si="34"/>
        <v>8.7039434240700153E-2</v>
      </c>
      <c r="Q64" s="99">
        <f t="shared" si="35"/>
        <v>0.60133632067686027</v>
      </c>
      <c r="R64" s="99" t="e">
        <f t="shared" ca="1" si="2"/>
        <v>#N/A</v>
      </c>
      <c r="S64" s="161" t="e">
        <f t="shared" ca="1" si="19"/>
        <v>#N/A</v>
      </c>
      <c r="T64" s="286" t="e">
        <f t="shared" ca="1" si="20"/>
        <v>#N/A</v>
      </c>
      <c r="U64" s="285">
        <f t="shared" si="3"/>
        <v>0.82587596801028273</v>
      </c>
      <c r="V64" s="891">
        <f t="shared" si="36"/>
        <v>7.7921425430173663E-2</v>
      </c>
      <c r="W64" s="99">
        <f t="shared" si="37"/>
        <v>0.82587596801028273</v>
      </c>
      <c r="X64" s="99" t="e">
        <f t="shared" ca="1" si="21"/>
        <v>#N/A</v>
      </c>
      <c r="Y64" s="161" t="e">
        <f t="shared" ca="1" si="22"/>
        <v>#N/A</v>
      </c>
      <c r="Z64" s="286" t="e">
        <f t="shared" ca="1" si="23"/>
        <v>#N/A</v>
      </c>
      <c r="AA64" s="285">
        <f t="shared" si="4"/>
        <v>0.37634681478746351</v>
      </c>
      <c r="AB64" s="891">
        <f t="shared" si="38"/>
        <v>6.129722572770091E-2</v>
      </c>
      <c r="AC64" s="99">
        <f t="shared" si="39"/>
        <v>0.37634681478746351</v>
      </c>
      <c r="AD64" s="99" t="e">
        <f t="shared" ca="1" si="24"/>
        <v>#N/A</v>
      </c>
      <c r="AE64" s="161" t="e">
        <f t="shared" ca="1" si="25"/>
        <v>#N/A</v>
      </c>
      <c r="AF64" s="286" t="e">
        <f t="shared" ca="1" si="26"/>
        <v>#N/A</v>
      </c>
      <c r="AG64" s="285">
        <f t="shared" si="5"/>
        <v>0.43573656352090456</v>
      </c>
      <c r="AH64" s="891">
        <f t="shared" si="46"/>
        <v>7.8774255387923986E-2</v>
      </c>
      <c r="AI64" s="99">
        <f t="shared" si="40"/>
        <v>0.43573656352090456</v>
      </c>
      <c r="AJ64" s="99" t="e">
        <f t="shared" ca="1" si="6"/>
        <v>#N/A</v>
      </c>
      <c r="AK64" s="161" t="e">
        <f t="shared" ca="1" si="27"/>
        <v>#N/A</v>
      </c>
      <c r="AL64" s="286" t="e">
        <f t="shared" ca="1" si="7"/>
        <v>#N/A</v>
      </c>
      <c r="AM64" s="285">
        <f t="shared" si="8"/>
        <v>0.37950743143056576</v>
      </c>
      <c r="AN64" s="891">
        <f t="shared" si="41"/>
        <v>7.8966342801474909E-2</v>
      </c>
      <c r="AO64" s="99">
        <f t="shared" si="42"/>
        <v>0.37950743143056576</v>
      </c>
      <c r="AP64" s="99" t="e">
        <f t="shared" ca="1" si="28"/>
        <v>#N/A</v>
      </c>
      <c r="AQ64" s="161" t="e">
        <f t="shared" ca="1" si="29"/>
        <v>#N/A</v>
      </c>
      <c r="AR64" s="286" t="e">
        <f t="shared" ca="1" si="9"/>
        <v>#N/A</v>
      </c>
      <c r="AS64" s="285">
        <f t="shared" si="10"/>
        <v>0.56150261611091301</v>
      </c>
      <c r="AT64" s="891">
        <f t="shared" si="43"/>
        <v>8.3503105669826105E-2</v>
      </c>
      <c r="AU64" s="99">
        <f t="shared" si="44"/>
        <v>0.56150261611091301</v>
      </c>
      <c r="AV64" s="99" t="e">
        <f t="shared" ca="1" si="30"/>
        <v>#N/A</v>
      </c>
      <c r="AW64" s="161" t="e">
        <f t="shared" ca="1" si="31"/>
        <v>#N/A</v>
      </c>
      <c r="AX64" s="286" t="e">
        <f t="shared" ca="1" si="11"/>
        <v>#N/A</v>
      </c>
      <c r="AZ64" s="361"/>
      <c r="BA64" s="469" t="str">
        <f>IF(INCUBATION!$E$27=CASE_COUNTS!C10,"Base Case",IF(INCUBATION!$E$27=CASE_COUNTS!D10,"2",IF(INCUBATION!$E$27=CASE_COUNTS!E10,"3",)))</f>
        <v>Base Case</v>
      </c>
      <c r="BB64" s="470"/>
      <c r="BN64" s="99"/>
    </row>
    <row r="65" spans="2:50" x14ac:dyDescent="0.25">
      <c r="B65" s="104">
        <f t="shared" si="32"/>
        <v>8</v>
      </c>
      <c r="C65" s="94">
        <v>9</v>
      </c>
      <c r="D65" s="94">
        <f t="shared" si="12"/>
        <v>0.67426125779148349</v>
      </c>
      <c r="E65" s="94">
        <f t="shared" si="45"/>
        <v>7.2924937114623223E-2</v>
      </c>
      <c r="F65" s="94" t="e">
        <f ca="1">IF(AND(H65=0,SUM(H65:H$116)&gt;0),0.0001,H65)</f>
        <v>#N/A</v>
      </c>
      <c r="G65" s="94" t="e">
        <f t="shared" ca="1" si="13"/>
        <v>#N/A</v>
      </c>
      <c r="H65" s="94" t="e">
        <f t="shared" ca="1" si="14"/>
        <v>#N/A</v>
      </c>
      <c r="I65" s="161" t="e">
        <f t="shared" ca="1" si="15"/>
        <v>#N/A</v>
      </c>
      <c r="J65" s="156" t="e">
        <f t="shared" ca="1" si="33"/>
        <v>#N/A</v>
      </c>
      <c r="K65" s="160" t="e">
        <f t="shared" ca="1" si="16"/>
        <v>#N/A</v>
      </c>
      <c r="L65" s="101" t="e">
        <f t="shared" ca="1" si="17"/>
        <v>#N/A</v>
      </c>
      <c r="M65" s="101" t="e">
        <f t="shared" ca="1" si="0"/>
        <v>#N/A</v>
      </c>
      <c r="N65" s="101" t="e">
        <f t="shared" ca="1" si="18"/>
        <v>#N/A</v>
      </c>
      <c r="O65" s="285">
        <f t="shared" si="1"/>
        <v>0.67426125779148349</v>
      </c>
      <c r="P65" s="891">
        <f t="shared" si="34"/>
        <v>7.2924937114623223E-2</v>
      </c>
      <c r="Q65" s="99">
        <f t="shared" si="35"/>
        <v>0.67426125779148349</v>
      </c>
      <c r="R65" s="99" t="e">
        <f t="shared" ca="1" si="2"/>
        <v>#N/A</v>
      </c>
      <c r="S65" s="161" t="e">
        <f t="shared" ca="1" si="19"/>
        <v>#N/A</v>
      </c>
      <c r="T65" s="286" t="e">
        <f t="shared" ca="1" si="20"/>
        <v>#N/A</v>
      </c>
      <c r="U65" s="285">
        <f t="shared" si="3"/>
        <v>0.88021944887224046</v>
      </c>
      <c r="V65" s="891">
        <f t="shared" si="36"/>
        <v>5.4343480861957727E-2</v>
      </c>
      <c r="W65" s="99">
        <f t="shared" si="37"/>
        <v>0.88021944887224046</v>
      </c>
      <c r="X65" s="99" t="e">
        <f t="shared" ca="1" si="21"/>
        <v>#N/A</v>
      </c>
      <c r="Y65" s="161" t="e">
        <f t="shared" ca="1" si="22"/>
        <v>#N/A</v>
      </c>
      <c r="Z65" s="286" t="e">
        <f t="shared" ca="1" si="23"/>
        <v>#N/A</v>
      </c>
      <c r="AA65" s="285">
        <f t="shared" si="4"/>
        <v>0.43320186129015226</v>
      </c>
      <c r="AB65" s="891">
        <f t="shared" si="38"/>
        <v>5.6855046502688744E-2</v>
      </c>
      <c r="AC65" s="99">
        <f t="shared" si="39"/>
        <v>0.43320186129015226</v>
      </c>
      <c r="AD65" s="99" t="e">
        <f t="shared" ca="1" si="24"/>
        <v>#N/A</v>
      </c>
      <c r="AE65" s="161" t="e">
        <f t="shared" ca="1" si="25"/>
        <v>#N/A</v>
      </c>
      <c r="AF65" s="286" t="e">
        <f t="shared" ca="1" si="26"/>
        <v>#N/A</v>
      </c>
      <c r="AG65" s="285">
        <f t="shared" si="5"/>
        <v>0.50752409957263789</v>
      </c>
      <c r="AH65" s="891">
        <f t="shared" si="46"/>
        <v>7.1787536051733325E-2</v>
      </c>
      <c r="AI65" s="99">
        <f t="shared" si="40"/>
        <v>0.50752409957263789</v>
      </c>
      <c r="AJ65" s="99" t="e">
        <f t="shared" ca="1" si="6"/>
        <v>#N/A</v>
      </c>
      <c r="AK65" s="161" t="e">
        <f t="shared" ca="1" si="27"/>
        <v>#N/A</v>
      </c>
      <c r="AL65" s="286" t="e">
        <f t="shared" ca="1" si="7"/>
        <v>#N/A</v>
      </c>
      <c r="AM65" s="285">
        <f t="shared" si="8"/>
        <v>0.45375206321363082</v>
      </c>
      <c r="AN65" s="891">
        <f t="shared" si="41"/>
        <v>7.4244631783065063E-2</v>
      </c>
      <c r="AO65" s="99">
        <f t="shared" si="42"/>
        <v>0.45375206321363082</v>
      </c>
      <c r="AP65" s="99" t="e">
        <f t="shared" ca="1" si="28"/>
        <v>#N/A</v>
      </c>
      <c r="AQ65" s="161" t="e">
        <f t="shared" ca="1" si="29"/>
        <v>#N/A</v>
      </c>
      <c r="AR65" s="286" t="e">
        <f t="shared" ca="1" si="9"/>
        <v>#N/A</v>
      </c>
      <c r="AS65" s="285">
        <f t="shared" si="10"/>
        <v>0.63306173553662803</v>
      </c>
      <c r="AT65" s="891">
        <f t="shared" si="43"/>
        <v>7.1559119425715023E-2</v>
      </c>
      <c r="AU65" s="99">
        <f t="shared" si="44"/>
        <v>0.63306173553662803</v>
      </c>
      <c r="AV65" s="99" t="e">
        <f t="shared" ca="1" si="30"/>
        <v>#N/A</v>
      </c>
      <c r="AW65" s="161" t="e">
        <f t="shared" ca="1" si="31"/>
        <v>#N/A</v>
      </c>
      <c r="AX65" s="286" t="e">
        <f t="shared" ca="1" si="11"/>
        <v>#N/A</v>
      </c>
    </row>
    <row r="66" spans="2:50" x14ac:dyDescent="0.25">
      <c r="B66" s="104">
        <f t="shared" si="32"/>
        <v>9</v>
      </c>
      <c r="C66" s="94">
        <v>10</v>
      </c>
      <c r="D66" s="94">
        <f t="shared" si="12"/>
        <v>0.73436133072221565</v>
      </c>
      <c r="E66" s="94">
        <f t="shared" si="45"/>
        <v>6.0100072930732162E-2</v>
      </c>
      <c r="F66" s="94" t="e">
        <f ca="1">IF(AND(H66=0,SUM(H66:H$116)&gt;0),0.0001,H66)</f>
        <v>#N/A</v>
      </c>
      <c r="G66" s="94" t="e">
        <f t="shared" ca="1" si="13"/>
        <v>#N/A</v>
      </c>
      <c r="H66" s="94" t="e">
        <f t="shared" ca="1" si="14"/>
        <v>#N/A</v>
      </c>
      <c r="I66" s="161" t="e">
        <f t="shared" ca="1" si="15"/>
        <v>#N/A</v>
      </c>
      <c r="J66" s="156" t="e">
        <f t="shared" ca="1" si="33"/>
        <v>#N/A</v>
      </c>
      <c r="K66" s="160" t="e">
        <f t="shared" ca="1" si="16"/>
        <v>#N/A</v>
      </c>
      <c r="L66" s="101" t="e">
        <f t="shared" ca="1" si="17"/>
        <v>#N/A</v>
      </c>
      <c r="M66" s="101" t="e">
        <f t="shared" ca="1" si="0"/>
        <v>#N/A</v>
      </c>
      <c r="N66" s="101" t="e">
        <f t="shared" ca="1" si="18"/>
        <v>#N/A</v>
      </c>
      <c r="O66" s="285">
        <f t="shared" si="1"/>
        <v>0.73436133072221565</v>
      </c>
      <c r="P66" s="891">
        <f t="shared" si="34"/>
        <v>6.0100072930732162E-2</v>
      </c>
      <c r="Q66" s="99">
        <f t="shared" si="35"/>
        <v>0.73436133072221565</v>
      </c>
      <c r="R66" s="99" t="e">
        <f t="shared" ca="1" si="2"/>
        <v>#N/A</v>
      </c>
      <c r="S66" s="161" t="e">
        <f t="shared" ca="1" si="19"/>
        <v>#N/A</v>
      </c>
      <c r="T66" s="286" t="e">
        <f t="shared" ca="1" si="20"/>
        <v>#N/A</v>
      </c>
      <c r="U66" s="285">
        <f t="shared" si="3"/>
        <v>0.91759346844529777</v>
      </c>
      <c r="V66" s="891">
        <f t="shared" si="36"/>
        <v>3.7374019573057304E-2</v>
      </c>
      <c r="W66" s="99">
        <f t="shared" si="37"/>
        <v>0.91759346844529777</v>
      </c>
      <c r="X66" s="99" t="e">
        <f t="shared" ca="1" si="21"/>
        <v>#N/A</v>
      </c>
      <c r="Y66" s="161" t="e">
        <f t="shared" ca="1" si="22"/>
        <v>#N/A</v>
      </c>
      <c r="Z66" s="286" t="e">
        <f t="shared" ca="1" si="23"/>
        <v>#N/A</v>
      </c>
      <c r="AA66" s="285">
        <f t="shared" si="4"/>
        <v>0.48529979617208391</v>
      </c>
      <c r="AB66" s="891">
        <f t="shared" si="38"/>
        <v>5.2097934881931651E-2</v>
      </c>
      <c r="AC66" s="99">
        <f t="shared" si="39"/>
        <v>0.48529979617208391</v>
      </c>
      <c r="AD66" s="99" t="e">
        <f t="shared" ca="1" si="24"/>
        <v>#N/A</v>
      </c>
      <c r="AE66" s="161" t="e">
        <f t="shared" ca="1" si="25"/>
        <v>#N/A</v>
      </c>
      <c r="AF66" s="286" t="e">
        <f t="shared" ca="1" si="26"/>
        <v>#N/A</v>
      </c>
      <c r="AG66" s="285">
        <f t="shared" si="5"/>
        <v>0.5716031432437475</v>
      </c>
      <c r="AH66" s="891">
        <f t="shared" si="46"/>
        <v>6.4079043671109615E-2</v>
      </c>
      <c r="AI66" s="99">
        <f t="shared" si="40"/>
        <v>0.5716031432437475</v>
      </c>
      <c r="AJ66" s="99" t="e">
        <f t="shared" ca="1" si="6"/>
        <v>#N/A</v>
      </c>
      <c r="AK66" s="161" t="e">
        <f t="shared" ca="1" si="27"/>
        <v>#N/A</v>
      </c>
      <c r="AL66" s="286" t="e">
        <f t="shared" ca="1" si="7"/>
        <v>#N/A</v>
      </c>
      <c r="AM66" s="285">
        <f t="shared" si="8"/>
        <v>0.52165152785338487</v>
      </c>
      <c r="AN66" s="891">
        <f t="shared" si="41"/>
        <v>6.7899464639754048E-2</v>
      </c>
      <c r="AO66" s="99">
        <f t="shared" si="42"/>
        <v>0.52165152785338487</v>
      </c>
      <c r="AP66" s="99" t="e">
        <f t="shared" ca="1" si="28"/>
        <v>#N/A</v>
      </c>
      <c r="AQ66" s="161" t="e">
        <f t="shared" ca="1" si="29"/>
        <v>#N/A</v>
      </c>
      <c r="AR66" s="286" t="e">
        <f t="shared" ca="1" si="9"/>
        <v>#N/A</v>
      </c>
      <c r="AS66" s="285">
        <f t="shared" si="10"/>
        <v>0.69344341653333719</v>
      </c>
      <c r="AT66" s="891">
        <f t="shared" si="43"/>
        <v>6.0381680996709153E-2</v>
      </c>
      <c r="AU66" s="99">
        <f t="shared" si="44"/>
        <v>0.69344341653333719</v>
      </c>
      <c r="AV66" s="99" t="e">
        <f t="shared" ca="1" si="30"/>
        <v>#N/A</v>
      </c>
      <c r="AW66" s="161" t="e">
        <f t="shared" ca="1" si="31"/>
        <v>#N/A</v>
      </c>
      <c r="AX66" s="286" t="e">
        <f t="shared" ca="1" si="11"/>
        <v>#N/A</v>
      </c>
    </row>
    <row r="67" spans="2:50" x14ac:dyDescent="0.25">
      <c r="B67" s="104">
        <f t="shared" si="32"/>
        <v>10</v>
      </c>
      <c r="C67" s="94">
        <v>11</v>
      </c>
      <c r="D67" s="94">
        <f t="shared" si="12"/>
        <v>0.78341338025660667</v>
      </c>
      <c r="E67" s="94">
        <f t="shared" si="45"/>
        <v>4.9052049534391018E-2</v>
      </c>
      <c r="F67" s="94" t="e">
        <f ca="1">IF(AND(H67=0,SUM(H67:H$116)&gt;0),0.0001,H67)</f>
        <v>#N/A</v>
      </c>
      <c r="G67" s="94" t="e">
        <f t="shared" ca="1" si="13"/>
        <v>#N/A</v>
      </c>
      <c r="H67" s="94" t="e">
        <f t="shared" ca="1" si="14"/>
        <v>#N/A</v>
      </c>
      <c r="I67" s="161" t="e">
        <f t="shared" ca="1" si="15"/>
        <v>#N/A</v>
      </c>
      <c r="J67" s="156" t="e">
        <f t="shared" ca="1" si="33"/>
        <v>#N/A</v>
      </c>
      <c r="K67" s="160" t="e">
        <f t="shared" ca="1" si="16"/>
        <v>#N/A</v>
      </c>
      <c r="L67" s="101" t="e">
        <f t="shared" ca="1" si="17"/>
        <v>#N/A</v>
      </c>
      <c r="M67" s="101" t="e">
        <f t="shared" ca="1" si="0"/>
        <v>#N/A</v>
      </c>
      <c r="N67" s="101" t="e">
        <f t="shared" ca="1" si="18"/>
        <v>#N/A</v>
      </c>
      <c r="O67" s="285">
        <f t="shared" si="1"/>
        <v>0.78341338025660667</v>
      </c>
      <c r="P67" s="891">
        <f t="shared" si="34"/>
        <v>4.9052049534391018E-2</v>
      </c>
      <c r="Q67" s="99">
        <f t="shared" si="35"/>
        <v>0.78341338025660667</v>
      </c>
      <c r="R67" s="99" t="e">
        <f t="shared" ca="1" si="2"/>
        <v>#N/A</v>
      </c>
      <c r="S67" s="161" t="e">
        <f t="shared" ca="1" si="19"/>
        <v>#N/A</v>
      </c>
      <c r="T67" s="286" t="e">
        <f t="shared" ca="1" si="20"/>
        <v>#N/A</v>
      </c>
      <c r="U67" s="285">
        <f t="shared" si="3"/>
        <v>0.94314425146253611</v>
      </c>
      <c r="V67" s="891">
        <f t="shared" si="36"/>
        <v>2.5550783017238343E-2</v>
      </c>
      <c r="W67" s="99">
        <f t="shared" si="37"/>
        <v>0.94314425146253611</v>
      </c>
      <c r="X67" s="99" t="e">
        <f t="shared" ca="1" si="21"/>
        <v>#N/A</v>
      </c>
      <c r="Y67" s="161" t="e">
        <f t="shared" ca="1" si="22"/>
        <v>#N/A</v>
      </c>
      <c r="Z67" s="286" t="e">
        <f t="shared" ca="1" si="23"/>
        <v>#N/A</v>
      </c>
      <c r="AA67" s="285">
        <f t="shared" si="4"/>
        <v>0.53267032106727319</v>
      </c>
      <c r="AB67" s="891">
        <f t="shared" si="38"/>
        <v>4.7370524895189281E-2</v>
      </c>
      <c r="AC67" s="99">
        <f t="shared" si="39"/>
        <v>0.53267032106727319</v>
      </c>
      <c r="AD67" s="99" t="e">
        <f t="shared" ca="1" si="24"/>
        <v>#N/A</v>
      </c>
      <c r="AE67" s="161" t="e">
        <f t="shared" ca="1" si="25"/>
        <v>#N/A</v>
      </c>
      <c r="AF67" s="286" t="e">
        <f t="shared" ca="1" si="26"/>
        <v>#N/A</v>
      </c>
      <c r="AG67" s="285">
        <f t="shared" si="5"/>
        <v>0.6280292940412151</v>
      </c>
      <c r="AH67" s="891">
        <f t="shared" si="46"/>
        <v>5.64261507974676E-2</v>
      </c>
      <c r="AI67" s="99">
        <f t="shared" si="40"/>
        <v>0.6280292940412151</v>
      </c>
      <c r="AJ67" s="99" t="e">
        <f t="shared" ca="1" si="6"/>
        <v>#N/A</v>
      </c>
      <c r="AK67" s="161" t="e">
        <f t="shared" ca="1" si="27"/>
        <v>#N/A</v>
      </c>
      <c r="AL67" s="286" t="e">
        <f t="shared" ca="1" si="7"/>
        <v>#N/A</v>
      </c>
      <c r="AM67" s="285">
        <f t="shared" si="8"/>
        <v>0.58258952870577607</v>
      </c>
      <c r="AN67" s="891">
        <f t="shared" si="41"/>
        <v>6.0938000852391205E-2</v>
      </c>
      <c r="AO67" s="99">
        <f t="shared" si="42"/>
        <v>0.58258952870577607</v>
      </c>
      <c r="AP67" s="99" t="e">
        <f t="shared" ca="1" si="28"/>
        <v>#N/A</v>
      </c>
      <c r="AQ67" s="161" t="e">
        <f t="shared" ca="1" si="29"/>
        <v>#N/A</v>
      </c>
      <c r="AR67" s="286" t="e">
        <f t="shared" ca="1" si="9"/>
        <v>#N/A</v>
      </c>
      <c r="AS67" s="285">
        <f t="shared" si="10"/>
        <v>0.74392493359095879</v>
      </c>
      <c r="AT67" s="891">
        <f t="shared" si="43"/>
        <v>5.0481517057621605E-2</v>
      </c>
      <c r="AU67" s="99">
        <f t="shared" si="44"/>
        <v>0.74392493359095879</v>
      </c>
      <c r="AV67" s="99" t="e">
        <f t="shared" ca="1" si="30"/>
        <v>#N/A</v>
      </c>
      <c r="AW67" s="161" t="e">
        <f t="shared" ca="1" si="31"/>
        <v>#N/A</v>
      </c>
      <c r="AX67" s="286" t="e">
        <f t="shared" ca="1" si="11"/>
        <v>#N/A</v>
      </c>
    </row>
    <row r="68" spans="2:50" x14ac:dyDescent="0.25">
      <c r="B68" s="104">
        <f t="shared" si="32"/>
        <v>11</v>
      </c>
      <c r="C68" s="94">
        <v>12</v>
      </c>
      <c r="D68" s="94">
        <f t="shared" si="12"/>
        <v>0.82323302388020636</v>
      </c>
      <c r="E68" s="94">
        <f t="shared" si="45"/>
        <v>3.9819643623599688E-2</v>
      </c>
      <c r="F68" s="94" t="e">
        <f ca="1">IF(AND(H68=0,SUM(H68:H$116)&gt;0),0.0001,H68)</f>
        <v>#N/A</v>
      </c>
      <c r="G68" s="94" t="e">
        <f t="shared" ca="1" si="13"/>
        <v>#N/A</v>
      </c>
      <c r="H68" s="94" t="e">
        <f t="shared" ca="1" si="14"/>
        <v>#N/A</v>
      </c>
      <c r="I68" s="161" t="e">
        <f t="shared" ca="1" si="15"/>
        <v>#N/A</v>
      </c>
      <c r="J68" s="156" t="e">
        <f t="shared" ca="1" si="33"/>
        <v>#N/A</v>
      </c>
      <c r="K68" s="160" t="e">
        <f t="shared" ca="1" si="16"/>
        <v>#N/A</v>
      </c>
      <c r="L68" s="101" t="e">
        <f t="shared" ca="1" si="17"/>
        <v>#N/A</v>
      </c>
      <c r="M68" s="101" t="e">
        <f t="shared" ca="1" si="0"/>
        <v>#N/A</v>
      </c>
      <c r="N68" s="101" t="e">
        <f t="shared" ca="1" si="18"/>
        <v>#N/A</v>
      </c>
      <c r="O68" s="285">
        <f t="shared" si="1"/>
        <v>0.82323302388020636</v>
      </c>
      <c r="P68" s="891">
        <f t="shared" si="34"/>
        <v>3.9819643623599688E-2</v>
      </c>
      <c r="Q68" s="99">
        <f t="shared" si="35"/>
        <v>0.82323302388020636</v>
      </c>
      <c r="R68" s="99" t="e">
        <f t="shared" ca="1" si="2"/>
        <v>#N/A</v>
      </c>
      <c r="S68" s="161" t="e">
        <f t="shared" ca="1" si="19"/>
        <v>#N/A</v>
      </c>
      <c r="T68" s="286" t="e">
        <f t="shared" ca="1" si="20"/>
        <v>#N/A</v>
      </c>
      <c r="U68" s="285">
        <f t="shared" si="3"/>
        <v>0.96059367489134173</v>
      </c>
      <c r="V68" s="891">
        <f t="shared" si="36"/>
        <v>1.7449423428805622E-2</v>
      </c>
      <c r="W68" s="99">
        <f t="shared" si="37"/>
        <v>0.96059367489134173</v>
      </c>
      <c r="X68" s="99" t="e">
        <f t="shared" ca="1" si="21"/>
        <v>#N/A</v>
      </c>
      <c r="Y68" s="161" t="e">
        <f t="shared" ca="1" si="22"/>
        <v>#N/A</v>
      </c>
      <c r="Z68" s="286" t="e">
        <f t="shared" ca="1" si="23"/>
        <v>#N/A</v>
      </c>
      <c r="AA68" s="285">
        <f t="shared" si="4"/>
        <v>0.57553226815299063</v>
      </c>
      <c r="AB68" s="891">
        <f t="shared" si="38"/>
        <v>4.2861947085717444E-2</v>
      </c>
      <c r="AC68" s="99">
        <f t="shared" si="39"/>
        <v>0.57553226815299063</v>
      </c>
      <c r="AD68" s="99" t="e">
        <f t="shared" ca="1" si="24"/>
        <v>#N/A</v>
      </c>
      <c r="AE68" s="161" t="e">
        <f t="shared" ca="1" si="25"/>
        <v>#N/A</v>
      </c>
      <c r="AF68" s="286" t="e">
        <f t="shared" ca="1" si="26"/>
        <v>#N/A</v>
      </c>
      <c r="AG68" s="285">
        <f t="shared" si="5"/>
        <v>0.67727469573999366</v>
      </c>
      <c r="AH68" s="891">
        <f t="shared" si="46"/>
        <v>4.9245401698778557E-2</v>
      </c>
      <c r="AI68" s="99">
        <f t="shared" si="40"/>
        <v>0.67727469573999366</v>
      </c>
      <c r="AJ68" s="99" t="e">
        <f t="shared" ca="1" si="6"/>
        <v>#N/A</v>
      </c>
      <c r="AK68" s="161" t="e">
        <f t="shared" ca="1" si="27"/>
        <v>#N/A</v>
      </c>
      <c r="AL68" s="286" t="e">
        <f t="shared" ca="1" si="7"/>
        <v>#N/A</v>
      </c>
      <c r="AM68" s="285">
        <f t="shared" si="8"/>
        <v>0.636574595180456</v>
      </c>
      <c r="AN68" s="891">
        <f t="shared" si="41"/>
        <v>5.3985066474679932E-2</v>
      </c>
      <c r="AO68" s="99">
        <f t="shared" si="42"/>
        <v>0.636574595180456</v>
      </c>
      <c r="AP68" s="99" t="e">
        <f t="shared" ca="1" si="28"/>
        <v>#N/A</v>
      </c>
      <c r="AQ68" s="161" t="e">
        <f t="shared" ca="1" si="29"/>
        <v>#N/A</v>
      </c>
      <c r="AR68" s="286" t="e">
        <f t="shared" ca="1" si="9"/>
        <v>#N/A</v>
      </c>
      <c r="AS68" s="285">
        <f t="shared" si="10"/>
        <v>0.7859082053034907</v>
      </c>
      <c r="AT68" s="891">
        <f t="shared" si="43"/>
        <v>4.1983271712531911E-2</v>
      </c>
      <c r="AU68" s="99">
        <f t="shared" si="44"/>
        <v>0.7859082053034907</v>
      </c>
      <c r="AV68" s="99" t="e">
        <f t="shared" ca="1" si="30"/>
        <v>#N/A</v>
      </c>
      <c r="AW68" s="161" t="e">
        <f t="shared" ca="1" si="31"/>
        <v>#N/A</v>
      </c>
      <c r="AX68" s="286" t="e">
        <f t="shared" ca="1" si="11"/>
        <v>#N/A</v>
      </c>
    </row>
    <row r="69" spans="2:50" x14ac:dyDescent="0.25">
      <c r="B69" s="104">
        <f t="shared" si="32"/>
        <v>12</v>
      </c>
      <c r="C69" s="94">
        <v>13</v>
      </c>
      <c r="D69" s="94">
        <f t="shared" si="12"/>
        <v>0.85547503988896889</v>
      </c>
      <c r="E69" s="94">
        <f t="shared" si="45"/>
        <v>3.2242016008762531E-2</v>
      </c>
      <c r="F69" s="94" t="e">
        <f ca="1">IF(AND(H69=0,SUM(H69:H$116)&gt;0),0.0001,H69)</f>
        <v>#N/A</v>
      </c>
      <c r="G69" s="94" t="e">
        <f t="shared" ca="1" si="13"/>
        <v>#N/A</v>
      </c>
      <c r="H69" s="94" t="e">
        <f t="shared" ca="1" si="14"/>
        <v>#N/A</v>
      </c>
      <c r="I69" s="161" t="e">
        <f t="shared" ca="1" si="15"/>
        <v>#N/A</v>
      </c>
      <c r="J69" s="156" t="e">
        <f t="shared" ca="1" si="33"/>
        <v>#N/A</v>
      </c>
      <c r="K69" s="160" t="e">
        <f t="shared" ca="1" si="16"/>
        <v>#N/A</v>
      </c>
      <c r="L69" s="101" t="e">
        <f t="shared" ca="1" si="17"/>
        <v>#N/A</v>
      </c>
      <c r="M69" s="101" t="e">
        <f t="shared" ca="1" si="0"/>
        <v>#N/A</v>
      </c>
      <c r="N69" s="101" t="e">
        <f t="shared" ca="1" si="18"/>
        <v>#N/A</v>
      </c>
      <c r="O69" s="285">
        <f t="shared" si="1"/>
        <v>0.85547503988896889</v>
      </c>
      <c r="P69" s="891">
        <f t="shared" si="34"/>
        <v>3.2242016008762531E-2</v>
      </c>
      <c r="Q69" s="99">
        <f t="shared" si="35"/>
        <v>0.85547503988896889</v>
      </c>
      <c r="R69" s="99" t="e">
        <f t="shared" ca="1" si="2"/>
        <v>#N/A</v>
      </c>
      <c r="S69" s="161" t="e">
        <f t="shared" ca="1" si="19"/>
        <v>#N/A</v>
      </c>
      <c r="T69" s="286" t="e">
        <f t="shared" ca="1" si="20"/>
        <v>#N/A</v>
      </c>
      <c r="U69" s="285">
        <f t="shared" si="3"/>
        <v>0.97253433682582169</v>
      </c>
      <c r="V69" s="891">
        <f t="shared" si="36"/>
        <v>1.1940661934479957E-2</v>
      </c>
      <c r="W69" s="99">
        <f t="shared" si="37"/>
        <v>0.97253433682582169</v>
      </c>
      <c r="X69" s="99" t="e">
        <f t="shared" ca="1" si="21"/>
        <v>#N/A</v>
      </c>
      <c r="Y69" s="161" t="e">
        <f t="shared" ca="1" si="22"/>
        <v>#N/A</v>
      </c>
      <c r="Z69" s="286" t="e">
        <f t="shared" ca="1" si="23"/>
        <v>#N/A</v>
      </c>
      <c r="AA69" s="285">
        <f t="shared" si="4"/>
        <v>0.61419919172134207</v>
      </c>
      <c r="AB69" s="891">
        <f t="shared" si="38"/>
        <v>3.8666923568351441E-2</v>
      </c>
      <c r="AC69" s="99">
        <f t="shared" si="39"/>
        <v>0.61419919172134207</v>
      </c>
      <c r="AD69" s="99" t="e">
        <f t="shared" ca="1" si="24"/>
        <v>#N/A</v>
      </c>
      <c r="AE69" s="161" t="e">
        <f t="shared" ca="1" si="25"/>
        <v>#N/A</v>
      </c>
      <c r="AF69" s="286" t="e">
        <f t="shared" ca="1" si="26"/>
        <v>#N/A</v>
      </c>
      <c r="AG69" s="285">
        <f t="shared" si="5"/>
        <v>0.72000497972970767</v>
      </c>
      <c r="AH69" s="891">
        <f t="shared" si="46"/>
        <v>4.2730283989714013E-2</v>
      </c>
      <c r="AI69" s="99">
        <f t="shared" si="40"/>
        <v>0.72000497972970767</v>
      </c>
      <c r="AJ69" s="99" t="e">
        <f t="shared" ca="1" si="6"/>
        <v>#N/A</v>
      </c>
      <c r="AK69" s="161" t="e">
        <f t="shared" ca="1" si="27"/>
        <v>#N/A</v>
      </c>
      <c r="AL69" s="286" t="e">
        <f t="shared" ca="1" si="7"/>
        <v>#N/A</v>
      </c>
      <c r="AM69" s="285">
        <f t="shared" si="8"/>
        <v>0.68397257832669589</v>
      </c>
      <c r="AN69" s="891">
        <f t="shared" si="41"/>
        <v>4.7397983146239886E-2</v>
      </c>
      <c r="AO69" s="99">
        <f t="shared" si="42"/>
        <v>0.68397257832669589</v>
      </c>
      <c r="AP69" s="99" t="e">
        <f t="shared" ca="1" si="28"/>
        <v>#N/A</v>
      </c>
      <c r="AQ69" s="161" t="e">
        <f t="shared" ca="1" si="29"/>
        <v>#N/A</v>
      </c>
      <c r="AR69" s="286" t="e">
        <f t="shared" ca="1" si="9"/>
        <v>#N/A</v>
      </c>
      <c r="AS69" s="285">
        <f t="shared" si="10"/>
        <v>0.82073167658523527</v>
      </c>
      <c r="AT69" s="891">
        <f t="shared" si="43"/>
        <v>3.4823471281744567E-2</v>
      </c>
      <c r="AU69" s="99">
        <f t="shared" si="44"/>
        <v>0.82073167658523527</v>
      </c>
      <c r="AV69" s="99" t="e">
        <f t="shared" ca="1" si="30"/>
        <v>#N/A</v>
      </c>
      <c r="AW69" s="161" t="e">
        <f t="shared" ca="1" si="31"/>
        <v>#N/A</v>
      </c>
      <c r="AX69" s="286" t="e">
        <f t="shared" ca="1" si="11"/>
        <v>#N/A</v>
      </c>
    </row>
    <row r="70" spans="2:50" x14ac:dyDescent="0.25">
      <c r="B70" s="104">
        <f t="shared" si="32"/>
        <v>13</v>
      </c>
      <c r="C70" s="94">
        <v>14</v>
      </c>
      <c r="D70" s="94">
        <f t="shared" si="12"/>
        <v>0.88156357973252297</v>
      </c>
      <c r="E70" s="94">
        <f t="shared" si="45"/>
        <v>2.6088539843554082E-2</v>
      </c>
      <c r="F70" s="94" t="e">
        <f ca="1">IF(AND(H70=0,SUM(H70:H$116)&gt;0),0.0001,H70)</f>
        <v>#N/A</v>
      </c>
      <c r="G70" s="94" t="e">
        <f t="shared" ca="1" si="13"/>
        <v>#N/A</v>
      </c>
      <c r="H70" s="94" t="e">
        <f t="shared" ca="1" si="14"/>
        <v>#N/A</v>
      </c>
      <c r="I70" s="161" t="e">
        <f t="shared" ca="1" si="15"/>
        <v>#N/A</v>
      </c>
      <c r="J70" s="156" t="e">
        <f t="shared" ca="1" si="33"/>
        <v>#N/A</v>
      </c>
      <c r="K70" s="160" t="e">
        <f t="shared" ca="1" si="16"/>
        <v>#N/A</v>
      </c>
      <c r="L70" s="101" t="e">
        <f t="shared" ca="1" si="17"/>
        <v>#N/A</v>
      </c>
      <c r="M70" s="101" t="e">
        <f t="shared" ca="1" si="0"/>
        <v>#N/A</v>
      </c>
      <c r="N70" s="101" t="e">
        <f t="shared" ca="1" si="18"/>
        <v>#N/A</v>
      </c>
      <c r="O70" s="285">
        <f t="shared" si="1"/>
        <v>0.88156357973252297</v>
      </c>
      <c r="P70" s="891">
        <f t="shared" si="34"/>
        <v>2.6088539843554082E-2</v>
      </c>
      <c r="Q70" s="99">
        <f t="shared" si="35"/>
        <v>0.88156357973252297</v>
      </c>
      <c r="R70" s="99" t="e">
        <f t="shared" ca="1" si="2"/>
        <v>#N/A</v>
      </c>
      <c r="S70" s="161" t="e">
        <f t="shared" ca="1" si="19"/>
        <v>#N/A</v>
      </c>
      <c r="T70" s="286" t="e">
        <f t="shared" ca="1" si="20"/>
        <v>#N/A</v>
      </c>
      <c r="U70" s="285">
        <f t="shared" si="3"/>
        <v>0.98073746508411419</v>
      </c>
      <c r="V70" s="891">
        <f t="shared" si="36"/>
        <v>8.2031282582925025E-3</v>
      </c>
      <c r="W70" s="99">
        <f t="shared" si="37"/>
        <v>0.98073746508411419</v>
      </c>
      <c r="X70" s="99" t="e">
        <f t="shared" ca="1" si="21"/>
        <v>#N/A</v>
      </c>
      <c r="Y70" s="161" t="e">
        <f t="shared" ca="1" si="22"/>
        <v>#N/A</v>
      </c>
      <c r="Z70" s="286" t="e">
        <f t="shared" ca="1" si="23"/>
        <v>#N/A</v>
      </c>
      <c r="AA70" s="285">
        <f t="shared" si="4"/>
        <v>0.64902308044015666</v>
      </c>
      <c r="AB70" s="891">
        <f t="shared" si="38"/>
        <v>3.4823888718814588E-2</v>
      </c>
      <c r="AC70" s="99">
        <f t="shared" si="39"/>
        <v>0.64902308044015666</v>
      </c>
      <c r="AD70" s="99" t="e">
        <f t="shared" ca="1" si="24"/>
        <v>#N/A</v>
      </c>
      <c r="AE70" s="161" t="e">
        <f t="shared" ca="1" si="25"/>
        <v>#N/A</v>
      </c>
      <c r="AF70" s="286" t="e">
        <f t="shared" ca="1" si="26"/>
        <v>#N/A</v>
      </c>
      <c r="AG70" s="285">
        <f t="shared" si="5"/>
        <v>0.75694801685902036</v>
      </c>
      <c r="AH70" s="891">
        <f t="shared" si="46"/>
        <v>3.6943037129312684E-2</v>
      </c>
      <c r="AI70" s="99">
        <f t="shared" si="40"/>
        <v>0.75694801685902036</v>
      </c>
      <c r="AJ70" s="99" t="e">
        <f t="shared" ca="1" si="6"/>
        <v>#N/A</v>
      </c>
      <c r="AK70" s="161" t="e">
        <f t="shared" ca="1" si="27"/>
        <v>#N/A</v>
      </c>
      <c r="AL70" s="286" t="e">
        <f t="shared" ca="1" si="7"/>
        <v>#N/A</v>
      </c>
      <c r="AM70" s="285">
        <f t="shared" si="8"/>
        <v>0.72533101564294444</v>
      </c>
      <c r="AN70" s="891">
        <f t="shared" si="41"/>
        <v>4.1358437316248553E-2</v>
      </c>
      <c r="AO70" s="99">
        <f t="shared" si="42"/>
        <v>0.72533101564294444</v>
      </c>
      <c r="AP70" s="99" t="e">
        <f t="shared" ca="1" si="28"/>
        <v>#N/A</v>
      </c>
      <c r="AQ70" s="161" t="e">
        <f t="shared" ca="1" si="29"/>
        <v>#N/A</v>
      </c>
      <c r="AR70" s="286" t="e">
        <f t="shared" ca="1" si="9"/>
        <v>#N/A</v>
      </c>
      <c r="AS70" s="285">
        <f t="shared" si="10"/>
        <v>0.84959058293958578</v>
      </c>
      <c r="AT70" s="891">
        <f t="shared" si="43"/>
        <v>2.8858906354350511E-2</v>
      </c>
      <c r="AU70" s="99">
        <f t="shared" si="44"/>
        <v>0.84959058293958578</v>
      </c>
      <c r="AV70" s="99" t="e">
        <f t="shared" ca="1" si="30"/>
        <v>#N/A</v>
      </c>
      <c r="AW70" s="161" t="e">
        <f t="shared" ca="1" si="31"/>
        <v>#N/A</v>
      </c>
      <c r="AX70" s="286" t="e">
        <f t="shared" ca="1" si="11"/>
        <v>#N/A</v>
      </c>
    </row>
    <row r="71" spans="2:50" x14ac:dyDescent="0.25">
      <c r="B71" s="104">
        <f t="shared" si="32"/>
        <v>14</v>
      </c>
      <c r="C71" s="94">
        <v>15</v>
      </c>
      <c r="D71" s="94">
        <f t="shared" si="12"/>
        <v>0.90268547125325205</v>
      </c>
      <c r="E71" s="94">
        <f t="shared" si="45"/>
        <v>2.1121891520729075E-2</v>
      </c>
      <c r="F71" s="94" t="e">
        <f ca="1">IF(AND(H71=0,SUM(H71:H$116)&gt;0),0.0001,H71)</f>
        <v>#N/A</v>
      </c>
      <c r="G71" s="94" t="e">
        <f t="shared" ca="1" si="13"/>
        <v>#N/A</v>
      </c>
      <c r="H71" s="94" t="e">
        <f t="shared" ca="1" si="14"/>
        <v>#N/A</v>
      </c>
      <c r="I71" s="161" t="e">
        <f t="shared" ca="1" si="15"/>
        <v>#N/A</v>
      </c>
      <c r="J71" s="156" t="e">
        <f t="shared" ca="1" si="33"/>
        <v>#N/A</v>
      </c>
      <c r="K71" s="160" t="e">
        <f t="shared" ca="1" si="16"/>
        <v>#N/A</v>
      </c>
      <c r="L71" s="101" t="e">
        <f t="shared" ca="1" si="17"/>
        <v>#N/A</v>
      </c>
      <c r="M71" s="101" t="e">
        <f t="shared" ca="1" si="0"/>
        <v>#N/A</v>
      </c>
      <c r="N71" s="101" t="e">
        <f t="shared" ca="1" si="18"/>
        <v>#N/A</v>
      </c>
      <c r="O71" s="285">
        <f t="shared" si="1"/>
        <v>0.90268547125325205</v>
      </c>
      <c r="P71" s="891">
        <f t="shared" si="34"/>
        <v>2.1121891520729075E-2</v>
      </c>
      <c r="Q71" s="99">
        <f t="shared" si="35"/>
        <v>0.90268547125325205</v>
      </c>
      <c r="R71" s="99" t="e">
        <f t="shared" ca="1" si="2"/>
        <v>#N/A</v>
      </c>
      <c r="S71" s="161" t="e">
        <f t="shared" ca="1" si="19"/>
        <v>#N/A</v>
      </c>
      <c r="T71" s="286" t="e">
        <f t="shared" ca="1" si="20"/>
        <v>#N/A</v>
      </c>
      <c r="U71" s="285">
        <f t="shared" si="3"/>
        <v>0.98640186484403869</v>
      </c>
      <c r="V71" s="891">
        <f t="shared" si="36"/>
        <v>5.6643997599244988E-3</v>
      </c>
      <c r="W71" s="99">
        <f t="shared" si="37"/>
        <v>0.98640186484403869</v>
      </c>
      <c r="X71" s="99" t="e">
        <f t="shared" ca="1" si="21"/>
        <v>#N/A</v>
      </c>
      <c r="Y71" s="161" t="e">
        <f t="shared" ca="1" si="22"/>
        <v>#N/A</v>
      </c>
      <c r="Z71" s="286" t="e">
        <f t="shared" ca="1" si="23"/>
        <v>#N/A</v>
      </c>
      <c r="AA71" s="285">
        <f t="shared" si="4"/>
        <v>0.68036159456711764</v>
      </c>
      <c r="AB71" s="891">
        <f t="shared" si="38"/>
        <v>3.1338514126960981E-2</v>
      </c>
      <c r="AC71" s="99">
        <f t="shared" si="39"/>
        <v>0.68036159456711764</v>
      </c>
      <c r="AD71" s="99" t="e">
        <f t="shared" ca="1" si="24"/>
        <v>#N/A</v>
      </c>
      <c r="AE71" s="161" t="e">
        <f t="shared" ca="1" si="25"/>
        <v>#N/A</v>
      </c>
      <c r="AF71" s="286" t="e">
        <f t="shared" ca="1" si="26"/>
        <v>#N/A</v>
      </c>
      <c r="AG71" s="285">
        <f t="shared" si="5"/>
        <v>0.78882072362694799</v>
      </c>
      <c r="AH71" s="891">
        <f t="shared" si="46"/>
        <v>3.1872706767927639E-2</v>
      </c>
      <c r="AI71" s="99">
        <f t="shared" si="40"/>
        <v>0.78882072362694799</v>
      </c>
      <c r="AJ71" s="99" t="e">
        <f t="shared" ca="1" si="6"/>
        <v>#N/A</v>
      </c>
      <c r="AK71" s="161" t="e">
        <f t="shared" ca="1" si="27"/>
        <v>#N/A</v>
      </c>
      <c r="AL71" s="286" t="e">
        <f t="shared" ca="1" si="7"/>
        <v>#N/A</v>
      </c>
      <c r="AM71" s="285">
        <f t="shared" si="8"/>
        <v>0.76126927587033699</v>
      </c>
      <c r="AN71" s="891">
        <f t="shared" si="41"/>
        <v>3.5938260227392549E-2</v>
      </c>
      <c r="AO71" s="99">
        <f t="shared" si="42"/>
        <v>0.76126927587033699</v>
      </c>
      <c r="AP71" s="99" t="e">
        <f t="shared" ca="1" si="28"/>
        <v>#N/A</v>
      </c>
      <c r="AQ71" s="161" t="e">
        <f t="shared" ca="1" si="29"/>
        <v>#N/A</v>
      </c>
      <c r="AR71" s="286" t="e">
        <f t="shared" ca="1" si="9"/>
        <v>#N/A</v>
      </c>
      <c r="AS71" s="285">
        <f t="shared" si="10"/>
        <v>0.87351358132927603</v>
      </c>
      <c r="AT71" s="891">
        <f t="shared" si="43"/>
        <v>2.3922998389690253E-2</v>
      </c>
      <c r="AU71" s="99">
        <f t="shared" si="44"/>
        <v>0.87351358132927603</v>
      </c>
      <c r="AV71" s="99" t="e">
        <f t="shared" ca="1" si="30"/>
        <v>#N/A</v>
      </c>
      <c r="AW71" s="161" t="e">
        <f t="shared" ca="1" si="31"/>
        <v>#N/A</v>
      </c>
      <c r="AX71" s="286" t="e">
        <f t="shared" ca="1" si="11"/>
        <v>#N/A</v>
      </c>
    </row>
    <row r="72" spans="2:50" x14ac:dyDescent="0.25">
      <c r="B72" s="104">
        <f t="shared" si="32"/>
        <v>15</v>
      </c>
      <c r="C72" s="94">
        <v>16</v>
      </c>
      <c r="D72" s="94">
        <f t="shared" si="12"/>
        <v>0.91981111725612952</v>
      </c>
      <c r="E72" s="94">
        <f t="shared" si="45"/>
        <v>1.712564600287747E-2</v>
      </c>
      <c r="F72" s="94" t="e">
        <f ca="1">IF(AND(H72=0,SUM(H72:H$116)&gt;0),0.0001,H72)</f>
        <v>#N/A</v>
      </c>
      <c r="G72" s="94" t="e">
        <f t="shared" ca="1" si="13"/>
        <v>#N/A</v>
      </c>
      <c r="H72" s="94" t="e">
        <f t="shared" ca="1" si="14"/>
        <v>#N/A</v>
      </c>
      <c r="I72" s="161" t="e">
        <f t="shared" ca="1" si="15"/>
        <v>#N/A</v>
      </c>
      <c r="J72" s="156" t="e">
        <f t="shared" ca="1" si="33"/>
        <v>#N/A</v>
      </c>
      <c r="K72" s="160" t="e">
        <f t="shared" ca="1" si="16"/>
        <v>#N/A</v>
      </c>
      <c r="L72" s="101" t="e">
        <f t="shared" ca="1" si="17"/>
        <v>#N/A</v>
      </c>
      <c r="M72" s="101" t="e">
        <f t="shared" ca="1" si="0"/>
        <v>#N/A</v>
      </c>
      <c r="N72" s="101" t="e">
        <f t="shared" ca="1" si="18"/>
        <v>#N/A</v>
      </c>
      <c r="O72" s="285">
        <f t="shared" si="1"/>
        <v>0.91981111725612952</v>
      </c>
      <c r="P72" s="891">
        <f t="shared" si="34"/>
        <v>1.712564600287747E-2</v>
      </c>
      <c r="Q72" s="99">
        <f t="shared" si="35"/>
        <v>0.91981111725612952</v>
      </c>
      <c r="R72" s="99" t="e">
        <f t="shared" ca="1" si="2"/>
        <v>#N/A</v>
      </c>
      <c r="S72" s="161" t="e">
        <f t="shared" ca="1" si="19"/>
        <v>#N/A</v>
      </c>
      <c r="T72" s="286" t="e">
        <f t="shared" ca="1" si="20"/>
        <v>#N/A</v>
      </c>
      <c r="U72" s="285">
        <f t="shared" si="3"/>
        <v>0.99033616538718428</v>
      </c>
      <c r="V72" s="891">
        <f t="shared" si="36"/>
        <v>3.9343005431455857E-3</v>
      </c>
      <c r="W72" s="99">
        <f t="shared" si="37"/>
        <v>0.99033616538718428</v>
      </c>
      <c r="X72" s="99" t="e">
        <f t="shared" ca="1" si="21"/>
        <v>#N/A</v>
      </c>
      <c r="Y72" s="161" t="e">
        <f t="shared" ca="1" si="22"/>
        <v>#N/A</v>
      </c>
      <c r="Z72" s="286" t="e">
        <f t="shared" ca="1" si="23"/>
        <v>#N/A</v>
      </c>
      <c r="AA72" s="285">
        <f t="shared" si="4"/>
        <v>0.7085597187575714</v>
      </c>
      <c r="AB72" s="891">
        <f t="shared" si="38"/>
        <v>2.8198124190453755E-2</v>
      </c>
      <c r="AC72" s="99">
        <f t="shared" si="39"/>
        <v>0.7085597187575714</v>
      </c>
      <c r="AD72" s="99" t="e">
        <f t="shared" ca="1" si="24"/>
        <v>#N/A</v>
      </c>
      <c r="AE72" s="161" t="e">
        <f t="shared" ca="1" si="25"/>
        <v>#N/A</v>
      </c>
      <c r="AF72" s="286" t="e">
        <f t="shared" ca="1" si="26"/>
        <v>#N/A</v>
      </c>
      <c r="AG72" s="285">
        <f t="shared" si="5"/>
        <v>0.81629131948759504</v>
      </c>
      <c r="AH72" s="891">
        <f t="shared" si="46"/>
        <v>2.747059586064704E-2</v>
      </c>
      <c r="AI72" s="99">
        <f t="shared" si="40"/>
        <v>0.81629131948759504</v>
      </c>
      <c r="AJ72" s="99" t="e">
        <f t="shared" ca="1" si="6"/>
        <v>#N/A</v>
      </c>
      <c r="AK72" s="161" t="e">
        <f t="shared" ca="1" si="27"/>
        <v>#N/A</v>
      </c>
      <c r="AL72" s="286" t="e">
        <f t="shared" ca="1" si="7"/>
        <v>#N/A</v>
      </c>
      <c r="AM72" s="285">
        <f t="shared" si="8"/>
        <v>0.79241309002356608</v>
      </c>
      <c r="AN72" s="891">
        <f t="shared" si="41"/>
        <v>3.1143814153229088E-2</v>
      </c>
      <c r="AO72" s="99">
        <f t="shared" si="42"/>
        <v>0.79241309002356608</v>
      </c>
      <c r="AP72" s="99" t="e">
        <f t="shared" ca="1" si="28"/>
        <v>#N/A</v>
      </c>
      <c r="AQ72" s="161" t="e">
        <f t="shared" ca="1" si="29"/>
        <v>#N/A</v>
      </c>
      <c r="AR72" s="286" t="e">
        <f t="shared" ca="1" si="9"/>
        <v>#N/A</v>
      </c>
      <c r="AS72" s="285">
        <f t="shared" si="10"/>
        <v>0.89336685020519457</v>
      </c>
      <c r="AT72" s="891">
        <f t="shared" si="43"/>
        <v>1.9853268875918539E-2</v>
      </c>
      <c r="AU72" s="99">
        <f t="shared" si="44"/>
        <v>0.89336685020519457</v>
      </c>
      <c r="AV72" s="99" t="e">
        <f t="shared" ca="1" si="30"/>
        <v>#N/A</v>
      </c>
      <c r="AW72" s="161" t="e">
        <f t="shared" ca="1" si="31"/>
        <v>#N/A</v>
      </c>
      <c r="AX72" s="286" t="e">
        <f t="shared" ca="1" si="11"/>
        <v>#N/A</v>
      </c>
    </row>
    <row r="73" spans="2:50" x14ac:dyDescent="0.25">
      <c r="B73" s="104">
        <f t="shared" si="32"/>
        <v>16</v>
      </c>
      <c r="C73" s="94">
        <v>17</v>
      </c>
      <c r="D73" s="94">
        <f t="shared" si="12"/>
        <v>0.93372496867009291</v>
      </c>
      <c r="E73" s="94">
        <f t="shared" si="45"/>
        <v>1.3913851413963396E-2</v>
      </c>
      <c r="F73" s="94" t="e">
        <f ca="1">IF(AND(H73=0,SUM(H73:H$116)&gt;0),0.0001,H73)</f>
        <v>#N/A</v>
      </c>
      <c r="G73" s="94" t="e">
        <f t="shared" ca="1" si="13"/>
        <v>#N/A</v>
      </c>
      <c r="H73" s="94" t="e">
        <f t="shared" ca="1" si="14"/>
        <v>#N/A</v>
      </c>
      <c r="I73" s="161" t="e">
        <f t="shared" ca="1" si="15"/>
        <v>#N/A</v>
      </c>
      <c r="J73" s="156" t="e">
        <f t="shared" ca="1" si="33"/>
        <v>#N/A</v>
      </c>
      <c r="K73" s="160" t="e">
        <f t="shared" ca="1" si="16"/>
        <v>#N/A</v>
      </c>
      <c r="L73" s="101" t="e">
        <f t="shared" ca="1" si="17"/>
        <v>#N/A</v>
      </c>
      <c r="M73" s="101" t="e">
        <f t="shared" ca="1" si="0"/>
        <v>#N/A</v>
      </c>
      <c r="N73" s="101" t="e">
        <f t="shared" ca="1" si="18"/>
        <v>#N/A</v>
      </c>
      <c r="O73" s="285">
        <f t="shared" si="1"/>
        <v>0.93372496867009291</v>
      </c>
      <c r="P73" s="891">
        <f t="shared" si="34"/>
        <v>1.3913851413963396E-2</v>
      </c>
      <c r="Q73" s="99">
        <f t="shared" si="35"/>
        <v>0.93372496867009291</v>
      </c>
      <c r="R73" s="99" t="e">
        <f t="shared" ca="1" si="2"/>
        <v>#N/A</v>
      </c>
      <c r="S73" s="161" t="e">
        <f t="shared" ca="1" si="19"/>
        <v>#N/A</v>
      </c>
      <c r="T73" s="286" t="e">
        <f t="shared" ca="1" si="20"/>
        <v>#N/A</v>
      </c>
      <c r="U73" s="285">
        <f t="shared" si="3"/>
        <v>0.99308597140484511</v>
      </c>
      <c r="V73" s="891">
        <f t="shared" si="36"/>
        <v>2.7498060176608385E-3</v>
      </c>
      <c r="W73" s="99">
        <f t="shared" si="37"/>
        <v>0.99308597140484511</v>
      </c>
      <c r="X73" s="99" t="e">
        <f t="shared" ca="1" si="21"/>
        <v>#N/A</v>
      </c>
      <c r="Y73" s="161" t="e">
        <f t="shared" ca="1" si="22"/>
        <v>#N/A</v>
      </c>
      <c r="Z73" s="286" t="e">
        <f t="shared" ca="1" si="23"/>
        <v>#N/A</v>
      </c>
      <c r="AA73" s="285">
        <f t="shared" si="4"/>
        <v>0.73394018276265949</v>
      </c>
      <c r="AB73" s="891">
        <f t="shared" si="38"/>
        <v>2.5380464005088088E-2</v>
      </c>
      <c r="AC73" s="99">
        <f t="shared" si="39"/>
        <v>0.73394018276265949</v>
      </c>
      <c r="AD73" s="99" t="e">
        <f t="shared" ca="1" si="24"/>
        <v>#N/A</v>
      </c>
      <c r="AE73" s="161" t="e">
        <f t="shared" ca="1" si="25"/>
        <v>#N/A</v>
      </c>
      <c r="AF73" s="286" t="e">
        <f t="shared" ca="1" si="26"/>
        <v>#N/A</v>
      </c>
      <c r="AG73" s="285">
        <f t="shared" si="5"/>
        <v>0.83996258783964894</v>
      </c>
      <c r="AH73" s="891">
        <f t="shared" si="46"/>
        <v>2.3671268352053909E-2</v>
      </c>
      <c r="AI73" s="99">
        <f t="shared" si="40"/>
        <v>0.83996258783964894</v>
      </c>
      <c r="AJ73" s="99" t="e">
        <f t="shared" ca="1" si="6"/>
        <v>#N/A</v>
      </c>
      <c r="AK73" s="161" t="e">
        <f t="shared" ca="1" si="27"/>
        <v>#N/A</v>
      </c>
      <c r="AL73" s="286" t="e">
        <f t="shared" ca="1" si="7"/>
        <v>#N/A</v>
      </c>
      <c r="AM73" s="285">
        <f t="shared" si="8"/>
        <v>0.81935789298378592</v>
      </c>
      <c r="AN73" s="891">
        <f t="shared" si="41"/>
        <v>2.6944802960219838E-2</v>
      </c>
      <c r="AO73" s="99">
        <f t="shared" si="42"/>
        <v>0.81935789298378592</v>
      </c>
      <c r="AP73" s="99" t="e">
        <f t="shared" ca="1" si="28"/>
        <v>#N/A</v>
      </c>
      <c r="AQ73" s="161" t="e">
        <f t="shared" ca="1" si="29"/>
        <v>#N/A</v>
      </c>
      <c r="AR73" s="286" t="e">
        <f t="shared" ca="1" si="9"/>
        <v>#N/A</v>
      </c>
      <c r="AS73" s="285">
        <f t="shared" si="10"/>
        <v>0.90987013891045421</v>
      </c>
      <c r="AT73" s="891">
        <f t="shared" si="43"/>
        <v>1.6503288705259633E-2</v>
      </c>
      <c r="AU73" s="99">
        <f t="shared" si="44"/>
        <v>0.90987013891045421</v>
      </c>
      <c r="AV73" s="99" t="e">
        <f t="shared" ca="1" si="30"/>
        <v>#N/A</v>
      </c>
      <c r="AW73" s="161" t="e">
        <f t="shared" ca="1" si="31"/>
        <v>#N/A</v>
      </c>
      <c r="AX73" s="286" t="e">
        <f t="shared" ca="1" si="11"/>
        <v>#N/A</v>
      </c>
    </row>
    <row r="74" spans="2:50" x14ac:dyDescent="0.25">
      <c r="B74" s="104">
        <f t="shared" si="32"/>
        <v>17</v>
      </c>
      <c r="C74" s="94">
        <v>18</v>
      </c>
      <c r="D74" s="94">
        <f t="shared" si="12"/>
        <v>0.94505694413410923</v>
      </c>
      <c r="E74" s="94">
        <f t="shared" si="45"/>
        <v>1.1331975464016319E-2</v>
      </c>
      <c r="F74" s="94" t="e">
        <f ca="1">IF(AND(H74=0,SUM(H74:H$116)&gt;0),0.0001,H74)</f>
        <v>#N/A</v>
      </c>
      <c r="G74" s="94" t="e">
        <f t="shared" ca="1" si="13"/>
        <v>#N/A</v>
      </c>
      <c r="H74" s="94" t="e">
        <f t="shared" ca="1" si="14"/>
        <v>#N/A</v>
      </c>
      <c r="I74" s="161" t="e">
        <f t="shared" ca="1" si="15"/>
        <v>#N/A</v>
      </c>
      <c r="J74" s="156" t="e">
        <f t="shared" ca="1" si="33"/>
        <v>#N/A</v>
      </c>
      <c r="K74" s="160" t="e">
        <f t="shared" ca="1" si="16"/>
        <v>#N/A</v>
      </c>
      <c r="L74" s="101" t="e">
        <f t="shared" ca="1" si="17"/>
        <v>#N/A</v>
      </c>
      <c r="M74" s="101" t="e">
        <f t="shared" ca="1" si="0"/>
        <v>#N/A</v>
      </c>
      <c r="N74" s="101" t="e">
        <f t="shared" ca="1" si="18"/>
        <v>#N/A</v>
      </c>
      <c r="O74" s="285">
        <f t="shared" si="1"/>
        <v>0.94505694413410923</v>
      </c>
      <c r="P74" s="891">
        <f t="shared" si="34"/>
        <v>1.1331975464016319E-2</v>
      </c>
      <c r="Q74" s="99">
        <f t="shared" si="35"/>
        <v>0.94505694413410923</v>
      </c>
      <c r="R74" s="99" t="e">
        <f t="shared" ca="1" si="2"/>
        <v>#N/A</v>
      </c>
      <c r="S74" s="161" t="e">
        <f t="shared" ca="1" si="19"/>
        <v>#N/A</v>
      </c>
      <c r="T74" s="286" t="e">
        <f t="shared" ca="1" si="20"/>
        <v>#N/A</v>
      </c>
      <c r="U74" s="285">
        <f t="shared" si="3"/>
        <v>0.99502038550086902</v>
      </c>
      <c r="V74" s="891">
        <f t="shared" si="36"/>
        <v>1.9344140960239065E-3</v>
      </c>
      <c r="W74" s="99">
        <f t="shared" si="37"/>
        <v>0.99502038550086902</v>
      </c>
      <c r="X74" s="99" t="e">
        <f t="shared" ca="1" si="21"/>
        <v>#N/A</v>
      </c>
      <c r="Y74" s="161" t="e">
        <f t="shared" ca="1" si="22"/>
        <v>#N/A</v>
      </c>
      <c r="Z74" s="286" t="e">
        <f t="shared" ca="1" si="23"/>
        <v>#N/A</v>
      </c>
      <c r="AA74" s="285">
        <f t="shared" si="4"/>
        <v>0.75679915600918157</v>
      </c>
      <c r="AB74" s="891">
        <f t="shared" si="38"/>
        <v>2.2858973246522085E-2</v>
      </c>
      <c r="AC74" s="99">
        <f t="shared" si="39"/>
        <v>0.75679915600918157</v>
      </c>
      <c r="AD74" s="99" t="e">
        <f t="shared" ca="1" si="24"/>
        <v>#N/A</v>
      </c>
      <c r="AE74" s="161" t="e">
        <f t="shared" ca="1" si="25"/>
        <v>#N/A</v>
      </c>
      <c r="AF74" s="286" t="e">
        <f t="shared" ca="1" si="26"/>
        <v>#N/A</v>
      </c>
      <c r="AG74" s="285">
        <f t="shared" si="5"/>
        <v>0.86036716219108211</v>
      </c>
      <c r="AH74" s="891">
        <f t="shared" si="46"/>
        <v>2.0404574351433169E-2</v>
      </c>
      <c r="AI74" s="99">
        <f t="shared" si="40"/>
        <v>0.86036716219108211</v>
      </c>
      <c r="AJ74" s="99" t="e">
        <f t="shared" ca="1" si="6"/>
        <v>#N/A</v>
      </c>
      <c r="AK74" s="161" t="e">
        <f t="shared" ca="1" si="27"/>
        <v>#N/A</v>
      </c>
      <c r="AL74" s="286" t="e">
        <f t="shared" ca="1" si="7"/>
        <v>#N/A</v>
      </c>
      <c r="AM74" s="285">
        <f t="shared" si="8"/>
        <v>0.84265029334216124</v>
      </c>
      <c r="AN74" s="891">
        <f t="shared" si="41"/>
        <v>2.329240035837532E-2</v>
      </c>
      <c r="AO74" s="99">
        <f t="shared" si="42"/>
        <v>0.84265029334216124</v>
      </c>
      <c r="AP74" s="99" t="e">
        <f t="shared" ca="1" si="28"/>
        <v>#N/A</v>
      </c>
      <c r="AQ74" s="161" t="e">
        <f t="shared" ca="1" si="29"/>
        <v>#N/A</v>
      </c>
      <c r="AR74" s="286" t="e">
        <f t="shared" ca="1" si="9"/>
        <v>#N/A</v>
      </c>
      <c r="AS74" s="285">
        <f t="shared" si="10"/>
        <v>0.92361673265598643</v>
      </c>
      <c r="AT74" s="891">
        <f t="shared" si="43"/>
        <v>1.3746593745532221E-2</v>
      </c>
      <c r="AU74" s="99">
        <f t="shared" si="44"/>
        <v>0.92361673265598643</v>
      </c>
      <c r="AV74" s="99" t="e">
        <f t="shared" ca="1" si="30"/>
        <v>#N/A</v>
      </c>
      <c r="AW74" s="161" t="e">
        <f t="shared" ca="1" si="31"/>
        <v>#N/A</v>
      </c>
      <c r="AX74" s="286" t="e">
        <f t="shared" ca="1" si="11"/>
        <v>#N/A</v>
      </c>
    </row>
    <row r="75" spans="2:50" x14ac:dyDescent="0.25">
      <c r="B75" s="104">
        <f t="shared" si="32"/>
        <v>18</v>
      </c>
      <c r="C75" s="94">
        <v>19</v>
      </c>
      <c r="D75" s="94">
        <f t="shared" si="12"/>
        <v>0.95431105571267227</v>
      </c>
      <c r="E75" s="94">
        <f t="shared" si="45"/>
        <v>9.2541115785630401E-3</v>
      </c>
      <c r="F75" s="94" t="e">
        <f ca="1">IF(AND(H75=0,SUM(H75:H$116)&gt;0),0.0001,H75)</f>
        <v>#N/A</v>
      </c>
      <c r="G75" s="94" t="e">
        <f t="shared" ca="1" si="13"/>
        <v>#N/A</v>
      </c>
      <c r="H75" s="94" t="e">
        <f t="shared" ca="1" si="14"/>
        <v>#N/A</v>
      </c>
      <c r="I75" s="161" t="e">
        <f t="shared" ca="1" si="15"/>
        <v>#N/A</v>
      </c>
      <c r="J75" s="156" t="e">
        <f t="shared" ca="1" si="33"/>
        <v>#N/A</v>
      </c>
      <c r="K75" s="160" t="e">
        <f t="shared" ca="1" si="16"/>
        <v>#N/A</v>
      </c>
      <c r="L75" s="101" t="e">
        <f t="shared" ca="1" si="17"/>
        <v>#N/A</v>
      </c>
      <c r="M75" s="101" t="e">
        <f t="shared" ca="1" si="0"/>
        <v>#N/A</v>
      </c>
      <c r="N75" s="101" t="e">
        <f t="shared" ca="1" si="18"/>
        <v>#N/A</v>
      </c>
      <c r="O75" s="285">
        <f t="shared" si="1"/>
        <v>0.95431105571267227</v>
      </c>
      <c r="P75" s="891">
        <f t="shared" si="34"/>
        <v>9.2541115785630401E-3</v>
      </c>
      <c r="Q75" s="99">
        <f t="shared" si="35"/>
        <v>0.95431105571267227</v>
      </c>
      <c r="R75" s="99" t="e">
        <f t="shared" ca="1" si="2"/>
        <v>#N/A</v>
      </c>
      <c r="S75" s="161" t="e">
        <f t="shared" ca="1" si="19"/>
        <v>#N/A</v>
      </c>
      <c r="T75" s="286" t="e">
        <f t="shared" ca="1" si="20"/>
        <v>#N/A</v>
      </c>
      <c r="U75" s="285">
        <f t="shared" si="3"/>
        <v>0.99639013576855529</v>
      </c>
      <c r="V75" s="891">
        <f t="shared" si="36"/>
        <v>1.369750267686265E-3</v>
      </c>
      <c r="W75" s="99">
        <f t="shared" si="37"/>
        <v>0.99639013576855529</v>
      </c>
      <c r="X75" s="99" t="e">
        <f t="shared" ca="1" si="21"/>
        <v>#N/A</v>
      </c>
      <c r="Y75" s="161" t="e">
        <f t="shared" ca="1" si="22"/>
        <v>#N/A</v>
      </c>
      <c r="Z75" s="286" t="e">
        <f t="shared" ca="1" si="23"/>
        <v>#N/A</v>
      </c>
      <c r="AA75" s="285">
        <f t="shared" si="4"/>
        <v>0.77740505661989945</v>
      </c>
      <c r="AB75" s="891">
        <f t="shared" si="38"/>
        <v>2.0605900610717875E-2</v>
      </c>
      <c r="AC75" s="99">
        <f t="shared" si="39"/>
        <v>0.77740505661989945</v>
      </c>
      <c r="AD75" s="99" t="e">
        <f t="shared" ca="1" si="24"/>
        <v>#N/A</v>
      </c>
      <c r="AE75" s="161" t="e">
        <f t="shared" ca="1" si="25"/>
        <v>#N/A</v>
      </c>
      <c r="AF75" s="286" t="e">
        <f t="shared" ca="1" si="26"/>
        <v>#N/A</v>
      </c>
      <c r="AG75" s="285">
        <f t="shared" si="5"/>
        <v>0.87796937213271309</v>
      </c>
      <c r="AH75" s="891">
        <f t="shared" si="46"/>
        <v>1.7602209941630975E-2</v>
      </c>
      <c r="AI75" s="99">
        <f t="shared" si="40"/>
        <v>0.87796937213271309</v>
      </c>
      <c r="AJ75" s="99" t="e">
        <f t="shared" ca="1" si="6"/>
        <v>#N/A</v>
      </c>
      <c r="AK75" s="161" t="e">
        <f t="shared" ca="1" si="27"/>
        <v>#N/A</v>
      </c>
      <c r="AL75" s="286" t="e">
        <f t="shared" ca="1" si="7"/>
        <v>#N/A</v>
      </c>
      <c r="AM75" s="285">
        <f t="shared" si="8"/>
        <v>0.86278060218794961</v>
      </c>
      <c r="AN75" s="891">
        <f t="shared" si="41"/>
        <v>2.0130308845788369E-2</v>
      </c>
      <c r="AO75" s="99">
        <f t="shared" si="42"/>
        <v>0.86278060218794961</v>
      </c>
      <c r="AP75" s="99" t="e">
        <f t="shared" ca="1" si="28"/>
        <v>#N/A</v>
      </c>
      <c r="AQ75" s="161" t="e">
        <f t="shared" ca="1" si="29"/>
        <v>#N/A</v>
      </c>
      <c r="AR75" s="286" t="e">
        <f t="shared" ca="1" si="9"/>
        <v>#N/A</v>
      </c>
      <c r="AS75" s="285">
        <f t="shared" si="10"/>
        <v>0.93509339069535513</v>
      </c>
      <c r="AT75" s="891">
        <f t="shared" si="43"/>
        <v>1.1476658039368703E-2</v>
      </c>
      <c r="AU75" s="99">
        <f t="shared" si="44"/>
        <v>0.93509339069535513</v>
      </c>
      <c r="AV75" s="99" t="e">
        <f t="shared" ca="1" si="30"/>
        <v>#N/A</v>
      </c>
      <c r="AW75" s="161" t="e">
        <f t="shared" ca="1" si="31"/>
        <v>#N/A</v>
      </c>
      <c r="AX75" s="286" t="e">
        <f t="shared" ca="1" si="11"/>
        <v>#N/A</v>
      </c>
    </row>
    <row r="76" spans="2:50" x14ac:dyDescent="0.25">
      <c r="B76" s="104">
        <f t="shared" si="32"/>
        <v>19</v>
      </c>
      <c r="C76" s="94">
        <v>20</v>
      </c>
      <c r="D76" s="94">
        <f t="shared" si="12"/>
        <v>0.96188995295685309</v>
      </c>
      <c r="E76" s="94">
        <f t="shared" si="45"/>
        <v>7.5788972441808156E-3</v>
      </c>
      <c r="F76" s="94" t="e">
        <f ca="1">IF(AND(H76=0,SUM(H76:H$116)&gt;0),0.0001,H76)</f>
        <v>#N/A</v>
      </c>
      <c r="G76" s="94" t="e">
        <f t="shared" ca="1" si="13"/>
        <v>#N/A</v>
      </c>
      <c r="H76" s="94" t="e">
        <f t="shared" ca="1" si="14"/>
        <v>#N/A</v>
      </c>
      <c r="I76" s="161" t="e">
        <f t="shared" ca="1" si="15"/>
        <v>#N/A</v>
      </c>
      <c r="J76" s="156" t="e">
        <f t="shared" ca="1" si="33"/>
        <v>#N/A</v>
      </c>
      <c r="K76" s="160" t="e">
        <f t="shared" ca="1" si="16"/>
        <v>#N/A</v>
      </c>
      <c r="L76" s="101" t="e">
        <f t="shared" ca="1" si="17"/>
        <v>#N/A</v>
      </c>
      <c r="M76" s="101" t="e">
        <f t="shared" ca="1" si="0"/>
        <v>#N/A</v>
      </c>
      <c r="N76" s="101" t="e">
        <f t="shared" ca="1" si="18"/>
        <v>#N/A</v>
      </c>
      <c r="O76" s="285">
        <f t="shared" si="1"/>
        <v>0.96188995295685309</v>
      </c>
      <c r="P76" s="891">
        <f t="shared" si="34"/>
        <v>7.5788972441808156E-3</v>
      </c>
      <c r="Q76" s="99">
        <f t="shared" si="35"/>
        <v>0.96188995295685309</v>
      </c>
      <c r="R76" s="99" t="e">
        <f t="shared" ca="1" si="2"/>
        <v>#N/A</v>
      </c>
      <c r="S76" s="161" t="e">
        <f t="shared" ca="1" si="19"/>
        <v>#N/A</v>
      </c>
      <c r="T76" s="286" t="e">
        <f t="shared" ca="1" si="20"/>
        <v>#N/A</v>
      </c>
      <c r="U76" s="285">
        <f t="shared" si="3"/>
        <v>0.99736640361344764</v>
      </c>
      <c r="V76" s="891">
        <f t="shared" si="36"/>
        <v>9.7626784489235341E-4</v>
      </c>
      <c r="W76" s="99">
        <f t="shared" si="37"/>
        <v>0.99736640361344764</v>
      </c>
      <c r="X76" s="99" t="e">
        <f t="shared" ca="1" si="21"/>
        <v>#N/A</v>
      </c>
      <c r="Y76" s="161" t="e">
        <f t="shared" ca="1" si="22"/>
        <v>#N/A</v>
      </c>
      <c r="Z76" s="286" t="e">
        <f t="shared" ca="1" si="23"/>
        <v>#N/A</v>
      </c>
      <c r="AA76" s="285">
        <f t="shared" si="4"/>
        <v>0.79599914277628114</v>
      </c>
      <c r="AB76" s="891">
        <f t="shared" si="38"/>
        <v>1.8594086156381695E-2</v>
      </c>
      <c r="AC76" s="99">
        <f t="shared" si="39"/>
        <v>0.79599914277628114</v>
      </c>
      <c r="AD76" s="99" t="e">
        <f t="shared" ca="1" si="24"/>
        <v>#N/A</v>
      </c>
      <c r="AE76" s="161" t="e">
        <f t="shared" ca="1" si="25"/>
        <v>#N/A</v>
      </c>
      <c r="AF76" s="286" t="e">
        <f t="shared" ca="1" si="26"/>
        <v>#N/A</v>
      </c>
      <c r="AG76" s="285">
        <f t="shared" si="5"/>
        <v>0.89317038617882472</v>
      </c>
      <c r="AH76" s="891">
        <f t="shared" si="46"/>
        <v>1.5201014046111627E-2</v>
      </c>
      <c r="AI76" s="99">
        <f t="shared" si="40"/>
        <v>0.89317038617882472</v>
      </c>
      <c r="AJ76" s="99" t="e">
        <f t="shared" ca="1" si="6"/>
        <v>#N/A</v>
      </c>
      <c r="AK76" s="161" t="e">
        <f t="shared" ca="1" si="27"/>
        <v>#N/A</v>
      </c>
      <c r="AL76" s="286" t="e">
        <f t="shared" ca="1" si="7"/>
        <v>#N/A</v>
      </c>
      <c r="AM76" s="285">
        <f t="shared" si="8"/>
        <v>0.8801818575914625</v>
      </c>
      <c r="AN76" s="891">
        <f t="shared" si="41"/>
        <v>1.7401255403512894E-2</v>
      </c>
      <c r="AO76" s="99">
        <f t="shared" si="42"/>
        <v>0.8801818575914625</v>
      </c>
      <c r="AP76" s="99" t="e">
        <f t="shared" ca="1" si="28"/>
        <v>#N/A</v>
      </c>
      <c r="AQ76" s="161" t="e">
        <f t="shared" ca="1" si="29"/>
        <v>#N/A</v>
      </c>
      <c r="AR76" s="286" t="e">
        <f t="shared" ca="1" si="9"/>
        <v>#N/A</v>
      </c>
      <c r="AS76" s="285">
        <f t="shared" si="10"/>
        <v>0.94469850104373099</v>
      </c>
      <c r="AT76" s="891">
        <f t="shared" si="43"/>
        <v>9.605110348375856E-3</v>
      </c>
      <c r="AU76" s="99">
        <f t="shared" si="44"/>
        <v>0.94469850104373099</v>
      </c>
      <c r="AV76" s="99" t="e">
        <f t="shared" ca="1" si="30"/>
        <v>#N/A</v>
      </c>
      <c r="AW76" s="161" t="e">
        <f t="shared" ca="1" si="31"/>
        <v>#N/A</v>
      </c>
      <c r="AX76" s="286" t="e">
        <f t="shared" ca="1" si="11"/>
        <v>#N/A</v>
      </c>
    </row>
    <row r="77" spans="2:50" x14ac:dyDescent="0.25">
      <c r="B77" s="104">
        <f t="shared" si="32"/>
        <v>20</v>
      </c>
      <c r="C77" s="94">
        <v>21</v>
      </c>
      <c r="D77" s="94">
        <f t="shared" si="12"/>
        <v>0.9681152636202377</v>
      </c>
      <c r="E77" s="94">
        <f t="shared" si="45"/>
        <v>6.2253106633846089E-3</v>
      </c>
      <c r="F77" s="94" t="e">
        <f ca="1">IF(AND(H77=0,SUM(H77:H$116)&gt;0),0.0001,H77)</f>
        <v>#N/A</v>
      </c>
      <c r="G77" s="94" t="e">
        <f t="shared" ca="1" si="13"/>
        <v>#N/A</v>
      </c>
      <c r="H77" s="94" t="e">
        <f t="shared" ca="1" si="14"/>
        <v>#N/A</v>
      </c>
      <c r="I77" s="161" t="e">
        <f t="shared" ca="1" si="15"/>
        <v>#N/A</v>
      </c>
      <c r="J77" s="156" t="e">
        <f t="shared" ca="1" si="33"/>
        <v>#N/A</v>
      </c>
      <c r="K77" s="160" t="e">
        <f t="shared" ca="1" si="16"/>
        <v>#N/A</v>
      </c>
      <c r="L77" s="101" t="e">
        <f t="shared" ca="1" si="17"/>
        <v>#N/A</v>
      </c>
      <c r="M77" s="101" t="e">
        <f t="shared" ca="1" si="0"/>
        <v>#N/A</v>
      </c>
      <c r="N77" s="101" t="e">
        <f t="shared" ca="1" si="18"/>
        <v>#N/A</v>
      </c>
      <c r="O77" s="285">
        <f t="shared" si="1"/>
        <v>0.9681152636202377</v>
      </c>
      <c r="P77" s="891">
        <f t="shared" si="34"/>
        <v>6.2253106633846089E-3</v>
      </c>
      <c r="Q77" s="99">
        <f t="shared" si="35"/>
        <v>0.9681152636202377</v>
      </c>
      <c r="R77" s="99" t="e">
        <f t="shared" ca="1" si="2"/>
        <v>#N/A</v>
      </c>
      <c r="S77" s="161" t="e">
        <f t="shared" ca="1" si="19"/>
        <v>#N/A</v>
      </c>
      <c r="T77" s="286" t="e">
        <f t="shared" ca="1" si="20"/>
        <v>#N/A</v>
      </c>
      <c r="U77" s="285">
        <f t="shared" si="3"/>
        <v>0.99806672291272425</v>
      </c>
      <c r="V77" s="891">
        <f t="shared" si="36"/>
        <v>7.003192992766083E-4</v>
      </c>
      <c r="W77" s="99">
        <f t="shared" si="37"/>
        <v>0.99806672291272425</v>
      </c>
      <c r="X77" s="99" t="e">
        <f t="shared" ca="1" si="21"/>
        <v>#N/A</v>
      </c>
      <c r="Y77" s="161" t="e">
        <f t="shared" ca="1" si="22"/>
        <v>#N/A</v>
      </c>
      <c r="Z77" s="286" t="e">
        <f t="shared" ca="1" si="23"/>
        <v>#N/A</v>
      </c>
      <c r="AA77" s="285">
        <f t="shared" si="4"/>
        <v>0.81279706830760667</v>
      </c>
      <c r="AB77" s="891">
        <f t="shared" si="38"/>
        <v>1.679792553132553E-2</v>
      </c>
      <c r="AC77" s="99">
        <f t="shared" si="39"/>
        <v>0.81279706830760667</v>
      </c>
      <c r="AD77" s="99" t="e">
        <f t="shared" ca="1" si="24"/>
        <v>#N/A</v>
      </c>
      <c r="AE77" s="161" t="e">
        <f t="shared" ca="1" si="25"/>
        <v>#N/A</v>
      </c>
      <c r="AF77" s="286" t="e">
        <f t="shared" ca="1" si="26"/>
        <v>#N/A</v>
      </c>
      <c r="AG77" s="285">
        <f t="shared" si="5"/>
        <v>0.9063147473584533</v>
      </c>
      <c r="AH77" s="891">
        <f t="shared" si="46"/>
        <v>1.3144361179628583E-2</v>
      </c>
      <c r="AI77" s="99">
        <f t="shared" si="40"/>
        <v>0.9063147473584533</v>
      </c>
      <c r="AJ77" s="99" t="e">
        <f t="shared" ca="1" si="6"/>
        <v>#N/A</v>
      </c>
      <c r="AK77" s="161" t="e">
        <f t="shared" ca="1" si="27"/>
        <v>#N/A</v>
      </c>
      <c r="AL77" s="286" t="e">
        <f t="shared" ca="1" si="7"/>
        <v>#N/A</v>
      </c>
      <c r="AM77" s="285">
        <f t="shared" si="8"/>
        <v>0.89523245940106644</v>
      </c>
      <c r="AN77" s="891">
        <f t="shared" si="41"/>
        <v>1.5050601809603936E-2</v>
      </c>
      <c r="AO77" s="99">
        <f t="shared" si="42"/>
        <v>0.89523245940106644</v>
      </c>
      <c r="AP77" s="99" t="e">
        <f t="shared" ca="1" si="28"/>
        <v>#N/A</v>
      </c>
      <c r="AQ77" s="161" t="e">
        <f t="shared" ca="1" si="29"/>
        <v>#N/A</v>
      </c>
      <c r="AR77" s="286" t="e">
        <f t="shared" ca="1" si="9"/>
        <v>#N/A</v>
      </c>
      <c r="AS77" s="285">
        <f t="shared" si="10"/>
        <v>0.95275782887272131</v>
      </c>
      <c r="AT77" s="891">
        <f t="shared" si="43"/>
        <v>8.0593278289903258E-3</v>
      </c>
      <c r="AU77" s="99">
        <f t="shared" si="44"/>
        <v>0.95275782887272131</v>
      </c>
      <c r="AV77" s="99" t="e">
        <f t="shared" ca="1" si="30"/>
        <v>#N/A</v>
      </c>
      <c r="AW77" s="161" t="e">
        <f t="shared" ca="1" si="31"/>
        <v>#N/A</v>
      </c>
      <c r="AX77" s="286" t="e">
        <f t="shared" ca="1" si="11"/>
        <v>#N/A</v>
      </c>
    </row>
    <row r="78" spans="2:50" x14ac:dyDescent="0.25">
      <c r="B78" s="104">
        <f t="shared" si="32"/>
        <v>21</v>
      </c>
      <c r="C78" s="94">
        <v>22</v>
      </c>
      <c r="D78" s="94">
        <f t="shared" si="12"/>
        <v>0.97324411206869821</v>
      </c>
      <c r="E78" s="94">
        <f t="shared" si="45"/>
        <v>5.1288484484605101E-3</v>
      </c>
      <c r="F78" s="94" t="e">
        <f ca="1">IF(AND(H78=0,SUM(H78:H$116)&gt;0),0.0001,H78)</f>
        <v>#N/A</v>
      </c>
      <c r="G78" s="94" t="e">
        <f t="shared" ca="1" si="13"/>
        <v>#N/A</v>
      </c>
      <c r="H78" s="94" t="e">
        <f t="shared" ca="1" si="14"/>
        <v>#N/A</v>
      </c>
      <c r="I78" s="161" t="e">
        <f t="shared" ca="1" si="15"/>
        <v>#N/A</v>
      </c>
      <c r="J78" s="156" t="e">
        <f t="shared" ca="1" si="33"/>
        <v>#N/A</v>
      </c>
      <c r="K78" s="160" t="e">
        <f t="shared" ca="1" si="16"/>
        <v>#N/A</v>
      </c>
      <c r="L78" s="101" t="e">
        <f t="shared" ca="1" si="17"/>
        <v>#N/A</v>
      </c>
      <c r="M78" s="101" t="e">
        <f t="shared" ca="1" si="0"/>
        <v>#N/A</v>
      </c>
      <c r="N78" s="101" t="e">
        <f t="shared" ca="1" si="18"/>
        <v>#N/A</v>
      </c>
      <c r="O78" s="285">
        <f t="shared" si="1"/>
        <v>0.97324411206869821</v>
      </c>
      <c r="P78" s="891">
        <f t="shared" si="34"/>
        <v>5.1288484484605101E-3</v>
      </c>
      <c r="Q78" s="99">
        <f t="shared" si="35"/>
        <v>0.97324411206869821</v>
      </c>
      <c r="R78" s="99" t="e">
        <f t="shared" ca="1" si="2"/>
        <v>#N/A</v>
      </c>
      <c r="S78" s="161" t="e">
        <f t="shared" ca="1" si="19"/>
        <v>#N/A</v>
      </c>
      <c r="T78" s="286" t="e">
        <f t="shared" ca="1" si="20"/>
        <v>#N/A</v>
      </c>
      <c r="U78" s="285">
        <f t="shared" si="3"/>
        <v>0.99857227811525329</v>
      </c>
      <c r="V78" s="891">
        <f t="shared" si="36"/>
        <v>5.0555520252903996E-4</v>
      </c>
      <c r="W78" s="99">
        <f t="shared" si="37"/>
        <v>0.99857227811525329</v>
      </c>
      <c r="X78" s="99" t="e">
        <f t="shared" ca="1" si="21"/>
        <v>#N/A</v>
      </c>
      <c r="Y78" s="161" t="e">
        <f t="shared" ca="1" si="22"/>
        <v>#N/A</v>
      </c>
      <c r="Z78" s="286" t="e">
        <f t="shared" ca="1" si="23"/>
        <v>#N/A</v>
      </c>
      <c r="AA78" s="285">
        <f t="shared" si="4"/>
        <v>0.8279909044029885</v>
      </c>
      <c r="AB78" s="891">
        <f t="shared" si="38"/>
        <v>1.519383609538183E-2</v>
      </c>
      <c r="AC78" s="99">
        <f t="shared" si="39"/>
        <v>0.8279909044029885</v>
      </c>
      <c r="AD78" s="99" t="e">
        <f t="shared" ca="1" si="24"/>
        <v>#N/A</v>
      </c>
      <c r="AE78" s="161" t="e">
        <f t="shared" ca="1" si="25"/>
        <v>#N/A</v>
      </c>
      <c r="AF78" s="286" t="e">
        <f t="shared" ca="1" si="26"/>
        <v>#N/A</v>
      </c>
      <c r="AG78" s="285">
        <f t="shared" si="5"/>
        <v>0.91769722519844654</v>
      </c>
      <c r="AH78" s="891">
        <f t="shared" si="46"/>
        <v>1.1382477839993244E-2</v>
      </c>
      <c r="AI78" s="99">
        <f t="shared" si="40"/>
        <v>0.91769722519844654</v>
      </c>
      <c r="AJ78" s="99" t="e">
        <f t="shared" ca="1" si="6"/>
        <v>#N/A</v>
      </c>
      <c r="AK78" s="161" t="e">
        <f t="shared" ca="1" si="27"/>
        <v>#N/A</v>
      </c>
      <c r="AL78" s="286" t="e">
        <f t="shared" ca="1" si="7"/>
        <v>#N/A</v>
      </c>
      <c r="AM78" s="285">
        <f t="shared" si="8"/>
        <v>0.90826062724513945</v>
      </c>
      <c r="AN78" s="891">
        <f t="shared" si="41"/>
        <v>1.3028167844073013E-2</v>
      </c>
      <c r="AO78" s="99">
        <f t="shared" si="42"/>
        <v>0.90826062724513945</v>
      </c>
      <c r="AP78" s="99" t="e">
        <f t="shared" ca="1" si="28"/>
        <v>#N/A</v>
      </c>
      <c r="AQ78" s="161" t="e">
        <f t="shared" ca="1" si="29"/>
        <v>#N/A</v>
      </c>
      <c r="AR78" s="286" t="e">
        <f t="shared" ca="1" si="9"/>
        <v>#N/A</v>
      </c>
      <c r="AS78" s="285">
        <f t="shared" si="10"/>
        <v>0.95953779733922906</v>
      </c>
      <c r="AT78" s="891">
        <f t="shared" si="43"/>
        <v>6.7799684665077464E-3</v>
      </c>
      <c r="AU78" s="99">
        <f t="shared" si="44"/>
        <v>0.95953779733922906</v>
      </c>
      <c r="AV78" s="99" t="e">
        <f t="shared" ca="1" si="30"/>
        <v>#N/A</v>
      </c>
      <c r="AW78" s="161" t="e">
        <f t="shared" ca="1" si="31"/>
        <v>#N/A</v>
      </c>
      <c r="AX78" s="286" t="e">
        <f t="shared" ca="1" si="11"/>
        <v>#N/A</v>
      </c>
    </row>
    <row r="79" spans="2:50" x14ac:dyDescent="0.25">
      <c r="B79" s="104">
        <f t="shared" si="32"/>
        <v>22</v>
      </c>
      <c r="C79" s="94">
        <v>23</v>
      </c>
      <c r="D79" s="94">
        <f t="shared" si="12"/>
        <v>0.97748236798715549</v>
      </c>
      <c r="E79" s="94">
        <f t="shared" si="45"/>
        <v>4.2382559184572788E-3</v>
      </c>
      <c r="F79" s="94" t="e">
        <f ca="1">IF(AND(H79=0,SUM(H79:H$116)&gt;0),0.0001,H79)</f>
        <v>#N/A</v>
      </c>
      <c r="G79" s="94" t="e">
        <f t="shared" ca="1" si="13"/>
        <v>#N/A</v>
      </c>
      <c r="H79" s="94" t="e">
        <f t="shared" ca="1" si="14"/>
        <v>#N/A</v>
      </c>
      <c r="I79" s="161" t="e">
        <f t="shared" ca="1" si="15"/>
        <v>#N/A</v>
      </c>
      <c r="J79" s="156" t="e">
        <f t="shared" ca="1" si="33"/>
        <v>#N/A</v>
      </c>
      <c r="K79" s="160" t="e">
        <f t="shared" ca="1" si="16"/>
        <v>#N/A</v>
      </c>
      <c r="L79" s="101" t="e">
        <f t="shared" ca="1" si="17"/>
        <v>#N/A</v>
      </c>
      <c r="M79" s="101" t="e">
        <f t="shared" ca="1" si="0"/>
        <v>#N/A</v>
      </c>
      <c r="N79" s="101" t="e">
        <f t="shared" ca="1" si="18"/>
        <v>#N/A</v>
      </c>
      <c r="O79" s="285">
        <f t="shared" si="1"/>
        <v>0.97748236798715549</v>
      </c>
      <c r="P79" s="891">
        <f t="shared" si="34"/>
        <v>4.2382559184572788E-3</v>
      </c>
      <c r="Q79" s="99">
        <f t="shared" si="35"/>
        <v>0.97748236798715549</v>
      </c>
      <c r="R79" s="99" t="e">
        <f t="shared" ca="1" si="2"/>
        <v>#N/A</v>
      </c>
      <c r="S79" s="161" t="e">
        <f t="shared" ca="1" si="19"/>
        <v>#N/A</v>
      </c>
      <c r="T79" s="286" t="e">
        <f t="shared" ca="1" si="20"/>
        <v>#N/A</v>
      </c>
      <c r="U79" s="285">
        <f t="shared" si="3"/>
        <v>0.99893949335389742</v>
      </c>
      <c r="V79" s="891">
        <f t="shared" si="36"/>
        <v>3.672152386441363E-4</v>
      </c>
      <c r="W79" s="99">
        <f t="shared" si="37"/>
        <v>0.99893949335389742</v>
      </c>
      <c r="X79" s="99" t="e">
        <f t="shared" ca="1" si="21"/>
        <v>#N/A</v>
      </c>
      <c r="Y79" s="161" t="e">
        <f t="shared" ca="1" si="22"/>
        <v>#N/A</v>
      </c>
      <c r="Z79" s="286" t="e">
        <f t="shared" ca="1" si="23"/>
        <v>#N/A</v>
      </c>
      <c r="AA79" s="285">
        <f t="shared" si="4"/>
        <v>0.84175132883319359</v>
      </c>
      <c r="AB79" s="891">
        <f t="shared" si="38"/>
        <v>1.3760424430205087E-2</v>
      </c>
      <c r="AC79" s="99">
        <f t="shared" si="39"/>
        <v>0.84175132883319359</v>
      </c>
      <c r="AD79" s="99" t="e">
        <f t="shared" ca="1" si="24"/>
        <v>#N/A</v>
      </c>
      <c r="AE79" s="161" t="e">
        <f t="shared" ca="1" si="25"/>
        <v>#N/A</v>
      </c>
      <c r="AF79" s="286" t="e">
        <f t="shared" ca="1" si="26"/>
        <v>#N/A</v>
      </c>
      <c r="AG79" s="285">
        <f t="shared" si="5"/>
        <v>0.92756940560660472</v>
      </c>
      <c r="AH79" s="891">
        <f t="shared" si="46"/>
        <v>9.8721804081581821E-3</v>
      </c>
      <c r="AI79" s="99">
        <f t="shared" si="40"/>
        <v>0.92756940560660472</v>
      </c>
      <c r="AJ79" s="99" t="e">
        <f t="shared" ca="1" si="6"/>
        <v>#N/A</v>
      </c>
      <c r="AK79" s="161" t="e">
        <f t="shared" ca="1" si="27"/>
        <v>#N/A</v>
      </c>
      <c r="AL79" s="286" t="e">
        <f t="shared" ca="1" si="7"/>
        <v>#N/A</v>
      </c>
      <c r="AM79" s="285">
        <f t="shared" si="8"/>
        <v>0.91954960179525891</v>
      </c>
      <c r="AN79" s="891">
        <f t="shared" si="41"/>
        <v>1.1288974550119457E-2</v>
      </c>
      <c r="AO79" s="99">
        <f t="shared" si="42"/>
        <v>0.91954960179525891</v>
      </c>
      <c r="AP79" s="99" t="e">
        <f t="shared" ca="1" si="28"/>
        <v>#N/A</v>
      </c>
      <c r="AQ79" s="161" t="e">
        <f t="shared" ca="1" si="29"/>
        <v>#N/A</v>
      </c>
      <c r="AR79" s="286" t="e">
        <f t="shared" ca="1" si="9"/>
        <v>#N/A</v>
      </c>
      <c r="AS79" s="285">
        <f t="shared" si="10"/>
        <v>0.96525649538091152</v>
      </c>
      <c r="AT79" s="891">
        <f t="shared" si="43"/>
        <v>5.7186980416824573E-3</v>
      </c>
      <c r="AU79" s="99">
        <f t="shared" si="44"/>
        <v>0.96525649538091152</v>
      </c>
      <c r="AV79" s="99" t="e">
        <f t="shared" ca="1" si="30"/>
        <v>#N/A</v>
      </c>
      <c r="AW79" s="161" t="e">
        <f t="shared" ca="1" si="31"/>
        <v>#N/A</v>
      </c>
      <c r="AX79" s="286" t="e">
        <f t="shared" ca="1" si="11"/>
        <v>#N/A</v>
      </c>
    </row>
    <row r="80" spans="2:50" x14ac:dyDescent="0.25">
      <c r="B80" s="104">
        <f t="shared" si="32"/>
        <v>23</v>
      </c>
      <c r="C80" s="94">
        <v>24</v>
      </c>
      <c r="D80" s="94">
        <f t="shared" si="12"/>
        <v>0.98099519263941826</v>
      </c>
      <c r="E80" s="94">
        <f t="shared" si="45"/>
        <v>3.5128246522627693E-3</v>
      </c>
      <c r="F80" s="94" t="e">
        <f ca="1">IF(AND(H80=0,SUM(H80:H$116)&gt;0),0.0001,H80)</f>
        <v>#N/A</v>
      </c>
      <c r="G80" s="94" t="e">
        <f t="shared" ca="1" si="13"/>
        <v>#N/A</v>
      </c>
      <c r="H80" s="94" t="e">
        <f t="shared" ca="1" si="14"/>
        <v>#N/A</v>
      </c>
      <c r="I80" s="161" t="e">
        <f t="shared" ca="1" si="15"/>
        <v>#N/A</v>
      </c>
      <c r="J80" s="156" t="e">
        <f t="shared" ca="1" si="33"/>
        <v>#N/A</v>
      </c>
      <c r="K80" s="160" t="e">
        <f t="shared" ca="1" si="16"/>
        <v>#N/A</v>
      </c>
      <c r="L80" s="101" t="e">
        <f t="shared" ca="1" si="17"/>
        <v>#N/A</v>
      </c>
      <c r="M80" s="101" t="e">
        <f t="shared" ca="1" si="0"/>
        <v>#N/A</v>
      </c>
      <c r="N80" s="101" t="e">
        <f t="shared" ca="1" si="18"/>
        <v>#N/A</v>
      </c>
      <c r="O80" s="285">
        <f t="shared" si="1"/>
        <v>0.98099519263941826</v>
      </c>
      <c r="P80" s="891">
        <f t="shared" si="34"/>
        <v>3.5128246522627693E-3</v>
      </c>
      <c r="Q80" s="99">
        <f t="shared" si="35"/>
        <v>0.98099519263941826</v>
      </c>
      <c r="R80" s="99" t="e">
        <f t="shared" ca="1" si="2"/>
        <v>#N/A</v>
      </c>
      <c r="S80" s="161" t="e">
        <f t="shared" ca="1" si="19"/>
        <v>#N/A</v>
      </c>
      <c r="T80" s="286" t="e">
        <f t="shared" ca="1" si="20"/>
        <v>#N/A</v>
      </c>
      <c r="U80" s="285">
        <f t="shared" si="3"/>
        <v>0.99920782970967525</v>
      </c>
      <c r="V80" s="891">
        <f t="shared" si="36"/>
        <v>2.6833635577783177E-4</v>
      </c>
      <c r="W80" s="99">
        <f t="shared" si="37"/>
        <v>0.99920782970967525</v>
      </c>
      <c r="X80" s="99" t="e">
        <f t="shared" ca="1" si="21"/>
        <v>#N/A</v>
      </c>
      <c r="Y80" s="161" t="e">
        <f t="shared" ca="1" si="22"/>
        <v>#N/A</v>
      </c>
      <c r="Z80" s="286" t="e">
        <f t="shared" ca="1" si="23"/>
        <v>#N/A</v>
      </c>
      <c r="AA80" s="285">
        <f t="shared" si="4"/>
        <v>0.85422980834985629</v>
      </c>
      <c r="AB80" s="891">
        <f t="shared" si="38"/>
        <v>1.2478479516662699E-2</v>
      </c>
      <c r="AC80" s="99">
        <f t="shared" si="39"/>
        <v>0.85422980834985629</v>
      </c>
      <c r="AD80" s="99" t="e">
        <f t="shared" ca="1" si="24"/>
        <v>#N/A</v>
      </c>
      <c r="AE80" s="161" t="e">
        <f t="shared" ca="1" si="25"/>
        <v>#N/A</v>
      </c>
      <c r="AF80" s="286" t="e">
        <f t="shared" ca="1" si="26"/>
        <v>#N/A</v>
      </c>
      <c r="AG80" s="285">
        <f t="shared" si="5"/>
        <v>0.93614573498824727</v>
      </c>
      <c r="AH80" s="891">
        <f t="shared" si="46"/>
        <v>8.5763293816425445E-3</v>
      </c>
      <c r="AI80" s="99">
        <f t="shared" si="40"/>
        <v>0.93614573498824727</v>
      </c>
      <c r="AJ80" s="99" t="e">
        <f t="shared" ca="1" si="6"/>
        <v>#N/A</v>
      </c>
      <c r="AK80" s="161" t="e">
        <f t="shared" ca="1" si="27"/>
        <v>#N/A</v>
      </c>
      <c r="AL80" s="286" t="e">
        <f t="shared" ca="1" si="7"/>
        <v>#N/A</v>
      </c>
      <c r="AM80" s="285">
        <f t="shared" si="8"/>
        <v>0.9293429583584133</v>
      </c>
      <c r="AN80" s="891">
        <f t="shared" si="41"/>
        <v>9.7933565631543873E-3</v>
      </c>
      <c r="AO80" s="99">
        <f t="shared" si="42"/>
        <v>0.9293429583584133</v>
      </c>
      <c r="AP80" s="99" t="e">
        <f t="shared" ca="1" si="28"/>
        <v>#N/A</v>
      </c>
      <c r="AQ80" s="161" t="e">
        <f t="shared" ca="1" si="29"/>
        <v>#N/A</v>
      </c>
      <c r="AR80" s="286" t="e">
        <f t="shared" ca="1" si="9"/>
        <v>#N/A</v>
      </c>
      <c r="AS80" s="285">
        <f t="shared" si="10"/>
        <v>0.97009270334125219</v>
      </c>
      <c r="AT80" s="891">
        <f t="shared" si="43"/>
        <v>4.8362079603406771E-3</v>
      </c>
      <c r="AU80" s="99">
        <f t="shared" si="44"/>
        <v>0.97009270334125219</v>
      </c>
      <c r="AV80" s="99" t="e">
        <f t="shared" ca="1" si="30"/>
        <v>#N/A</v>
      </c>
      <c r="AW80" s="161" t="e">
        <f t="shared" ca="1" si="31"/>
        <v>#N/A</v>
      </c>
      <c r="AX80" s="286" t="e">
        <f t="shared" ca="1" si="11"/>
        <v>#N/A</v>
      </c>
    </row>
    <row r="81" spans="2:50" x14ac:dyDescent="0.25">
      <c r="B81" s="104">
        <f t="shared" si="32"/>
        <v>24</v>
      </c>
      <c r="C81" s="94">
        <v>25</v>
      </c>
      <c r="D81" s="94">
        <f t="shared" si="12"/>
        <v>0.98391539722274179</v>
      </c>
      <c r="E81" s="94">
        <f t="shared" si="45"/>
        <v>2.9202045833235379E-3</v>
      </c>
      <c r="F81" s="94" t="e">
        <f ca="1">IF(AND(H81=0,SUM(H81:H$116)&gt;0),0.0001,H81)</f>
        <v>#N/A</v>
      </c>
      <c r="G81" s="94" t="e">
        <f t="shared" ca="1" si="13"/>
        <v>#N/A</v>
      </c>
      <c r="H81" s="94" t="e">
        <f t="shared" ca="1" si="14"/>
        <v>#N/A</v>
      </c>
      <c r="I81" s="161" t="e">
        <f t="shared" ca="1" si="15"/>
        <v>#N/A</v>
      </c>
      <c r="J81" s="156" t="e">
        <f t="shared" ca="1" si="33"/>
        <v>#N/A</v>
      </c>
      <c r="K81" s="160" t="e">
        <f t="shared" ca="1" si="16"/>
        <v>#N/A</v>
      </c>
      <c r="L81" s="101" t="e">
        <f t="shared" ca="1" si="17"/>
        <v>#N/A</v>
      </c>
      <c r="M81" s="101" t="e">
        <f t="shared" ca="1" si="0"/>
        <v>#N/A</v>
      </c>
      <c r="N81" s="101" t="e">
        <f t="shared" ca="1" si="18"/>
        <v>#N/A</v>
      </c>
      <c r="O81" s="285">
        <f t="shared" si="1"/>
        <v>0.98391539722274179</v>
      </c>
      <c r="P81" s="891">
        <f t="shared" si="34"/>
        <v>2.9202045833235379E-3</v>
      </c>
      <c r="Q81" s="99">
        <f t="shared" si="35"/>
        <v>0.98391539722274179</v>
      </c>
      <c r="R81" s="99" t="e">
        <f t="shared" ca="1" si="2"/>
        <v>#N/A</v>
      </c>
      <c r="S81" s="161" t="e">
        <f t="shared" ca="1" si="19"/>
        <v>#N/A</v>
      </c>
      <c r="T81" s="286" t="e">
        <f t="shared" ca="1" si="20"/>
        <v>#N/A</v>
      </c>
      <c r="U81" s="285">
        <f t="shared" si="3"/>
        <v>0.99940505750456332</v>
      </c>
      <c r="V81" s="891">
        <f t="shared" si="36"/>
        <v>1.972277948880663E-4</v>
      </c>
      <c r="W81" s="99">
        <f t="shared" si="37"/>
        <v>0.99940505750456332</v>
      </c>
      <c r="X81" s="99" t="e">
        <f t="shared" ca="1" si="21"/>
        <v>#N/A</v>
      </c>
      <c r="Y81" s="161" t="e">
        <f t="shared" ca="1" si="22"/>
        <v>#N/A</v>
      </c>
      <c r="Z81" s="286" t="e">
        <f t="shared" ca="1" si="23"/>
        <v>#N/A</v>
      </c>
      <c r="AA81" s="285">
        <f t="shared" si="4"/>
        <v>0.86556067708970974</v>
      </c>
      <c r="AB81" s="891">
        <f t="shared" si="38"/>
        <v>1.133086873985345E-2</v>
      </c>
      <c r="AC81" s="99">
        <f t="shared" si="39"/>
        <v>0.86556067708970974</v>
      </c>
      <c r="AD81" s="99" t="e">
        <f t="shared" ca="1" si="24"/>
        <v>#N/A</v>
      </c>
      <c r="AE81" s="161" t="e">
        <f t="shared" ca="1" si="25"/>
        <v>#N/A</v>
      </c>
      <c r="AF81" s="286" t="e">
        <f t="shared" ca="1" si="26"/>
        <v>#N/A</v>
      </c>
      <c r="AG81" s="285">
        <f t="shared" si="5"/>
        <v>0.9436089057588789</v>
      </c>
      <c r="AH81" s="891">
        <f t="shared" si="46"/>
        <v>7.463170770631633E-3</v>
      </c>
      <c r="AI81" s="99">
        <f t="shared" si="40"/>
        <v>0.9436089057588789</v>
      </c>
      <c r="AJ81" s="99" t="e">
        <f t="shared" ca="1" si="6"/>
        <v>#N/A</v>
      </c>
      <c r="AK81" s="161" t="e">
        <f t="shared" ca="1" si="27"/>
        <v>#N/A</v>
      </c>
      <c r="AL81" s="286" t="e">
        <f t="shared" ca="1" si="7"/>
        <v>#N/A</v>
      </c>
      <c r="AM81" s="285">
        <f t="shared" si="8"/>
        <v>0.93784968296556415</v>
      </c>
      <c r="AN81" s="891">
        <f t="shared" si="41"/>
        <v>8.5067246071508507E-3</v>
      </c>
      <c r="AO81" s="99">
        <f t="shared" si="42"/>
        <v>0.93784968296556415</v>
      </c>
      <c r="AP81" s="99" t="e">
        <f t="shared" ca="1" si="28"/>
        <v>#N/A</v>
      </c>
      <c r="AQ81" s="161" t="e">
        <f t="shared" ca="1" si="29"/>
        <v>#N/A</v>
      </c>
      <c r="AR81" s="286" t="e">
        <f t="shared" ca="1" si="9"/>
        <v>#N/A</v>
      </c>
      <c r="AS81" s="285">
        <f t="shared" si="10"/>
        <v>0.97419324383207906</v>
      </c>
      <c r="AT81" s="891">
        <f t="shared" si="43"/>
        <v>4.100540490826865E-3</v>
      </c>
      <c r="AU81" s="99">
        <f t="shared" si="44"/>
        <v>0.97419324383207906</v>
      </c>
      <c r="AV81" s="99" t="e">
        <f t="shared" ca="1" si="30"/>
        <v>#N/A</v>
      </c>
      <c r="AW81" s="161" t="e">
        <f t="shared" ca="1" si="31"/>
        <v>#N/A</v>
      </c>
      <c r="AX81" s="286" t="e">
        <f t="shared" ca="1" si="11"/>
        <v>#N/A</v>
      </c>
    </row>
    <row r="82" spans="2:50" x14ac:dyDescent="0.25">
      <c r="B82" s="104">
        <f t="shared" si="32"/>
        <v>25</v>
      </c>
      <c r="C82" s="94">
        <v>26</v>
      </c>
      <c r="D82" s="94">
        <f t="shared" si="12"/>
        <v>0.98635005239094531</v>
      </c>
      <c r="E82" s="94">
        <f t="shared" si="45"/>
        <v>2.4346551682035145E-3</v>
      </c>
      <c r="F82" s="94" t="e">
        <f ca="1">IF(AND(H82=0,SUM(H82:H$116)&gt;0),0.0001,H82)</f>
        <v>#N/A</v>
      </c>
      <c r="G82" s="94" t="e">
        <f t="shared" ca="1" si="13"/>
        <v>#N/A</v>
      </c>
      <c r="H82" s="94" t="e">
        <f t="shared" ca="1" si="14"/>
        <v>#N/A</v>
      </c>
      <c r="I82" s="161" t="e">
        <f t="shared" ca="1" si="15"/>
        <v>#N/A</v>
      </c>
      <c r="J82" s="156" t="e">
        <f t="shared" ca="1" si="33"/>
        <v>#N/A</v>
      </c>
      <c r="K82" s="160" t="e">
        <f t="shared" ca="1" si="16"/>
        <v>#N/A</v>
      </c>
      <c r="L82" s="101" t="e">
        <f t="shared" ca="1" si="17"/>
        <v>#N/A</v>
      </c>
      <c r="M82" s="101" t="e">
        <f t="shared" ca="1" si="0"/>
        <v>#N/A</v>
      </c>
      <c r="N82" s="101" t="e">
        <f t="shared" ca="1" si="18"/>
        <v>#N/A</v>
      </c>
      <c r="O82" s="285">
        <f t="shared" si="1"/>
        <v>0.98635005239094531</v>
      </c>
      <c r="P82" s="891">
        <f t="shared" si="34"/>
        <v>2.4346551682035145E-3</v>
      </c>
      <c r="Q82" s="99">
        <f t="shared" si="35"/>
        <v>0.98635005239094531</v>
      </c>
      <c r="R82" s="99" t="e">
        <f t="shared" ca="1" si="2"/>
        <v>#N/A</v>
      </c>
      <c r="S82" s="161" t="e">
        <f t="shared" ca="1" si="19"/>
        <v>#N/A</v>
      </c>
      <c r="T82" s="286" t="e">
        <f t="shared" ca="1" si="20"/>
        <v>#N/A</v>
      </c>
      <c r="U82" s="285">
        <f t="shared" si="3"/>
        <v>0.99955084079468604</v>
      </c>
      <c r="V82" s="891">
        <f t="shared" si="36"/>
        <v>1.4578329012271407E-4</v>
      </c>
      <c r="W82" s="99">
        <f t="shared" si="37"/>
        <v>0.99955084079468604</v>
      </c>
      <c r="X82" s="99" t="e">
        <f t="shared" ca="1" si="21"/>
        <v>#N/A</v>
      </c>
      <c r="Y82" s="161" t="e">
        <f t="shared" ca="1" si="22"/>
        <v>#N/A</v>
      </c>
      <c r="Z82" s="286" t="e">
        <f t="shared" ca="1" si="23"/>
        <v>#N/A</v>
      </c>
      <c r="AA82" s="285">
        <f t="shared" si="4"/>
        <v>0.87586306135856218</v>
      </c>
      <c r="AB82" s="891">
        <f t="shared" si="38"/>
        <v>1.0302384268852438E-2</v>
      </c>
      <c r="AC82" s="99">
        <f t="shared" si="39"/>
        <v>0.87586306135856218</v>
      </c>
      <c r="AD82" s="99" t="e">
        <f t="shared" ca="1" si="24"/>
        <v>#N/A</v>
      </c>
      <c r="AE82" s="161" t="e">
        <f t="shared" ca="1" si="25"/>
        <v>#N/A</v>
      </c>
      <c r="AF82" s="286" t="e">
        <f t="shared" ca="1" si="26"/>
        <v>#N/A</v>
      </c>
      <c r="AG82" s="285">
        <f t="shared" si="5"/>
        <v>0.95011456615375245</v>
      </c>
      <c r="AH82" s="891">
        <f t="shared" si="46"/>
        <v>6.505660394873547E-3</v>
      </c>
      <c r="AI82" s="99">
        <f t="shared" si="40"/>
        <v>0.95011456615375245</v>
      </c>
      <c r="AJ82" s="99" t="e">
        <f t="shared" ca="1" si="6"/>
        <v>#N/A</v>
      </c>
      <c r="AK82" s="161" t="e">
        <f t="shared" ca="1" si="27"/>
        <v>#N/A</v>
      </c>
      <c r="AL82" s="286" t="e">
        <f t="shared" ca="1" si="7"/>
        <v>#N/A</v>
      </c>
      <c r="AM82" s="285">
        <f t="shared" si="8"/>
        <v>0.94524883420048345</v>
      </c>
      <c r="AN82" s="891">
        <f t="shared" si="41"/>
        <v>7.3991512349192989E-3</v>
      </c>
      <c r="AO82" s="99">
        <f t="shared" si="42"/>
        <v>0.94524883420048345</v>
      </c>
      <c r="AP82" s="99" t="e">
        <f t="shared" ca="1" si="28"/>
        <v>#N/A</v>
      </c>
      <c r="AQ82" s="161" t="e">
        <f t="shared" ca="1" si="29"/>
        <v>#N/A</v>
      </c>
      <c r="AR82" s="286" t="e">
        <f t="shared" ca="1" si="9"/>
        <v>#N/A</v>
      </c>
      <c r="AS82" s="285">
        <f t="shared" si="10"/>
        <v>0.97767894472525574</v>
      </c>
      <c r="AT82" s="891">
        <f t="shared" si="43"/>
        <v>3.4857008931766797E-3</v>
      </c>
      <c r="AU82" s="99">
        <f t="shared" si="44"/>
        <v>0.97767894472525574</v>
      </c>
      <c r="AV82" s="99" t="e">
        <f t="shared" ca="1" si="30"/>
        <v>#N/A</v>
      </c>
      <c r="AW82" s="161" t="e">
        <f t="shared" ca="1" si="31"/>
        <v>#N/A</v>
      </c>
      <c r="AX82" s="286" t="e">
        <f t="shared" ca="1" si="11"/>
        <v>#N/A</v>
      </c>
    </row>
    <row r="83" spans="2:50" x14ac:dyDescent="0.25">
      <c r="B83" s="104">
        <f t="shared" si="32"/>
        <v>26</v>
      </c>
      <c r="C83" s="94">
        <v>27</v>
      </c>
      <c r="D83" s="94">
        <f t="shared" si="12"/>
        <v>0.98838571089704819</v>
      </c>
      <c r="E83" s="94">
        <f t="shared" si="45"/>
        <v>2.0356585061028776E-3</v>
      </c>
      <c r="F83" s="94" t="e">
        <f ca="1">IF(AND(H83=0,SUM(H83:H$116)&gt;0),0.0001,H83)</f>
        <v>#N/A</v>
      </c>
      <c r="G83" s="94" t="e">
        <f t="shared" ca="1" si="13"/>
        <v>#N/A</v>
      </c>
      <c r="H83" s="94" t="e">
        <f t="shared" ca="1" si="14"/>
        <v>#N/A</v>
      </c>
      <c r="I83" s="161" t="e">
        <f t="shared" ca="1" si="15"/>
        <v>#N/A</v>
      </c>
      <c r="J83" s="156" t="e">
        <f t="shared" ca="1" si="33"/>
        <v>#N/A</v>
      </c>
      <c r="K83" s="160" t="e">
        <f t="shared" ca="1" si="16"/>
        <v>#N/A</v>
      </c>
      <c r="L83" s="101" t="e">
        <f t="shared" ca="1" si="17"/>
        <v>#N/A</v>
      </c>
      <c r="M83" s="101" t="e">
        <f t="shared" ca="1" si="0"/>
        <v>#N/A</v>
      </c>
      <c r="N83" s="101" t="e">
        <f t="shared" ca="1" si="18"/>
        <v>#N/A</v>
      </c>
      <c r="O83" s="285">
        <f t="shared" si="1"/>
        <v>0.98838571089704819</v>
      </c>
      <c r="P83" s="891">
        <f t="shared" si="34"/>
        <v>2.0356585061028776E-3</v>
      </c>
      <c r="Q83" s="99">
        <f t="shared" si="35"/>
        <v>0.98838571089704819</v>
      </c>
      <c r="R83" s="99" t="e">
        <f t="shared" ca="1" si="2"/>
        <v>#N/A</v>
      </c>
      <c r="S83" s="161" t="e">
        <f t="shared" ca="1" si="19"/>
        <v>#N/A</v>
      </c>
      <c r="T83" s="286" t="e">
        <f t="shared" ca="1" si="20"/>
        <v>#N/A</v>
      </c>
      <c r="U83" s="285">
        <f t="shared" si="3"/>
        <v>0.99965918841262347</v>
      </c>
      <c r="V83" s="891">
        <f t="shared" si="36"/>
        <v>1.0834761793743208E-4</v>
      </c>
      <c r="W83" s="99">
        <f t="shared" si="37"/>
        <v>0.99965918841262347</v>
      </c>
      <c r="X83" s="99" t="e">
        <f t="shared" ca="1" si="21"/>
        <v>#N/A</v>
      </c>
      <c r="Y83" s="161" t="e">
        <f t="shared" ca="1" si="22"/>
        <v>#N/A</v>
      </c>
      <c r="Z83" s="286" t="e">
        <f t="shared" ca="1" si="23"/>
        <v>#N/A</v>
      </c>
      <c r="AA83" s="285">
        <f t="shared" si="4"/>
        <v>0.88524263007637827</v>
      </c>
      <c r="AB83" s="891">
        <f t="shared" si="38"/>
        <v>9.3795687178160891E-3</v>
      </c>
      <c r="AC83" s="99">
        <f t="shared" si="39"/>
        <v>0.88524263007637827</v>
      </c>
      <c r="AD83" s="99" t="e">
        <f t="shared" ca="1" si="24"/>
        <v>#N/A</v>
      </c>
      <c r="AE83" s="161" t="e">
        <f t="shared" ca="1" si="25"/>
        <v>#N/A</v>
      </c>
      <c r="AF83" s="286" t="e">
        <f t="shared" ca="1" si="26"/>
        <v>#N/A</v>
      </c>
      <c r="AG83" s="285">
        <f t="shared" si="5"/>
        <v>0.95579538798349373</v>
      </c>
      <c r="AH83" s="891">
        <f t="shared" si="46"/>
        <v>5.6808218297412783E-3</v>
      </c>
      <c r="AI83" s="99">
        <f t="shared" si="40"/>
        <v>0.95579538798349373</v>
      </c>
      <c r="AJ83" s="99" t="e">
        <f t="shared" ca="1" si="6"/>
        <v>#N/A</v>
      </c>
      <c r="AK83" s="161" t="e">
        <f t="shared" ca="1" si="27"/>
        <v>#N/A</v>
      </c>
      <c r="AL83" s="286" t="e">
        <f t="shared" ca="1" si="7"/>
        <v>#N/A</v>
      </c>
      <c r="AM83" s="285">
        <f t="shared" si="8"/>
        <v>0.95169371825340288</v>
      </c>
      <c r="AN83" s="891">
        <f t="shared" si="41"/>
        <v>6.4448840529194307E-3</v>
      </c>
      <c r="AO83" s="99">
        <f t="shared" si="42"/>
        <v>0.95169371825340288</v>
      </c>
      <c r="AP83" s="99" t="e">
        <f t="shared" ca="1" si="28"/>
        <v>#N/A</v>
      </c>
      <c r="AQ83" s="161" t="e">
        <f t="shared" ca="1" si="29"/>
        <v>#N/A</v>
      </c>
      <c r="AR83" s="286" t="e">
        <f t="shared" ca="1" si="9"/>
        <v>#N/A</v>
      </c>
      <c r="AS83" s="285">
        <f t="shared" si="10"/>
        <v>0.98064946599951319</v>
      </c>
      <c r="AT83" s="891">
        <f t="shared" si="43"/>
        <v>2.9705212742574538E-3</v>
      </c>
      <c r="AU83" s="99">
        <f t="shared" si="44"/>
        <v>0.98064946599951319</v>
      </c>
      <c r="AV83" s="99" t="e">
        <f t="shared" ca="1" si="30"/>
        <v>#N/A</v>
      </c>
      <c r="AW83" s="161" t="e">
        <f t="shared" ca="1" si="31"/>
        <v>#N/A</v>
      </c>
      <c r="AX83" s="286" t="e">
        <f t="shared" ca="1" si="11"/>
        <v>#N/A</v>
      </c>
    </row>
    <row r="84" spans="2:50" x14ac:dyDescent="0.25">
      <c r="B84" s="104">
        <f t="shared" si="32"/>
        <v>27</v>
      </c>
      <c r="C84" s="94">
        <v>28</v>
      </c>
      <c r="D84" s="94">
        <f t="shared" si="12"/>
        <v>0.99009253555266052</v>
      </c>
      <c r="E84" s="94">
        <f t="shared" si="45"/>
        <v>1.7068246556123379E-3</v>
      </c>
      <c r="F84" s="94" t="e">
        <f ca="1">IF(AND(H84=0,SUM(H84:H$116)&gt;0),0.0001,H84)</f>
        <v>#N/A</v>
      </c>
      <c r="G84" s="94" t="e">
        <f t="shared" ca="1" si="13"/>
        <v>#N/A</v>
      </c>
      <c r="H84" s="94" t="e">
        <f t="shared" ca="1" si="14"/>
        <v>#N/A</v>
      </c>
      <c r="I84" s="161" t="e">
        <f t="shared" ca="1" si="15"/>
        <v>#N/A</v>
      </c>
      <c r="J84" s="156" t="e">
        <f t="shared" ca="1" si="33"/>
        <v>#N/A</v>
      </c>
      <c r="K84" s="160" t="e">
        <f t="shared" ca="1" si="16"/>
        <v>#N/A</v>
      </c>
      <c r="L84" s="101" t="e">
        <f t="shared" ca="1" si="17"/>
        <v>#N/A</v>
      </c>
      <c r="M84" s="101" t="e">
        <f t="shared" ca="1" si="0"/>
        <v>#N/A</v>
      </c>
      <c r="N84" s="101" t="e">
        <f t="shared" ca="1" si="18"/>
        <v>#N/A</v>
      </c>
      <c r="O84" s="285">
        <f t="shared" si="1"/>
        <v>0.99009253555266052</v>
      </c>
      <c r="P84" s="891">
        <f t="shared" si="34"/>
        <v>1.7068246556123379E-3</v>
      </c>
      <c r="Q84" s="99">
        <f t="shared" si="35"/>
        <v>0.99009253555266052</v>
      </c>
      <c r="R84" s="99" t="e">
        <f t="shared" ca="1" si="2"/>
        <v>#N/A</v>
      </c>
      <c r="S84" s="161" t="e">
        <f t="shared" ca="1" si="19"/>
        <v>#N/A</v>
      </c>
      <c r="T84" s="286" t="e">
        <f t="shared" ca="1" si="20"/>
        <v>#N/A</v>
      </c>
      <c r="U84" s="285">
        <f t="shared" si="3"/>
        <v>0.99974013988140609</v>
      </c>
      <c r="V84" s="891">
        <f t="shared" si="36"/>
        <v>8.0951468782619607E-5</v>
      </c>
      <c r="W84" s="99">
        <f t="shared" si="37"/>
        <v>0.99974013988140609</v>
      </c>
      <c r="X84" s="99" t="e">
        <f t="shared" ca="1" si="21"/>
        <v>#N/A</v>
      </c>
      <c r="Y84" s="161" t="e">
        <f t="shared" ca="1" si="22"/>
        <v>#N/A</v>
      </c>
      <c r="Z84" s="286" t="e">
        <f t="shared" ca="1" si="23"/>
        <v>#N/A</v>
      </c>
      <c r="AA84" s="285">
        <f t="shared" si="4"/>
        <v>0.89379316734219616</v>
      </c>
      <c r="AB84" s="891">
        <f t="shared" si="38"/>
        <v>8.5505372658178924E-3</v>
      </c>
      <c r="AC84" s="99">
        <f t="shared" si="39"/>
        <v>0.89379316734219616</v>
      </c>
      <c r="AD84" s="99" t="e">
        <f t="shared" ca="1" si="24"/>
        <v>#N/A</v>
      </c>
      <c r="AE84" s="161" t="e">
        <f t="shared" ca="1" si="25"/>
        <v>#N/A</v>
      </c>
      <c r="AF84" s="286" t="e">
        <f t="shared" ca="1" si="26"/>
        <v>#N/A</v>
      </c>
      <c r="AG84" s="285">
        <f t="shared" si="5"/>
        <v>0.96076455018562945</v>
      </c>
      <c r="AH84" s="891">
        <f t="shared" si="46"/>
        <v>4.969162202135724E-3</v>
      </c>
      <c r="AI84" s="99">
        <f t="shared" si="40"/>
        <v>0.96076455018562945</v>
      </c>
      <c r="AJ84" s="99" t="e">
        <f t="shared" ca="1" si="6"/>
        <v>#N/A</v>
      </c>
      <c r="AK84" s="161" t="e">
        <f t="shared" ca="1" si="27"/>
        <v>#N/A</v>
      </c>
      <c r="AL84" s="286" t="e">
        <f t="shared" ca="1" si="7"/>
        <v>#N/A</v>
      </c>
      <c r="AM84" s="285">
        <f t="shared" si="8"/>
        <v>0.95731556548422858</v>
      </c>
      <c r="AN84" s="891">
        <f t="shared" si="41"/>
        <v>5.621847230825705E-3</v>
      </c>
      <c r="AO84" s="99">
        <f t="shared" si="42"/>
        <v>0.95731556548422858</v>
      </c>
      <c r="AP84" s="99" t="e">
        <f t="shared" ca="1" si="28"/>
        <v>#N/A</v>
      </c>
      <c r="AQ84" s="161" t="e">
        <f t="shared" ca="1" si="29"/>
        <v>#N/A</v>
      </c>
      <c r="AR84" s="286" t="e">
        <f t="shared" ca="1" si="9"/>
        <v>#N/A</v>
      </c>
      <c r="AS84" s="285">
        <f t="shared" si="10"/>
        <v>0.98318720368184331</v>
      </c>
      <c r="AT84" s="891">
        <f t="shared" si="43"/>
        <v>2.5377376823301212E-3</v>
      </c>
      <c r="AU84" s="99">
        <f t="shared" si="44"/>
        <v>0.98318720368184331</v>
      </c>
      <c r="AV84" s="99" t="e">
        <f t="shared" ca="1" si="30"/>
        <v>#N/A</v>
      </c>
      <c r="AW84" s="161" t="e">
        <f t="shared" ca="1" si="31"/>
        <v>#N/A</v>
      </c>
      <c r="AX84" s="286" t="e">
        <f t="shared" ca="1" si="11"/>
        <v>#N/A</v>
      </c>
    </row>
    <row r="85" spans="2:50" x14ac:dyDescent="0.25">
      <c r="B85" s="104">
        <f t="shared" si="32"/>
        <v>28</v>
      </c>
      <c r="C85" s="94">
        <v>29</v>
      </c>
      <c r="D85" s="94">
        <f t="shared" si="12"/>
        <v>0.99152756532843667</v>
      </c>
      <c r="E85" s="94">
        <f t="shared" si="45"/>
        <v>1.4350297757761421E-3</v>
      </c>
      <c r="F85" s="94" t="e">
        <f ca="1">IF(AND(H85=0,SUM(H85:H$116)&gt;0),0.0001,H85)</f>
        <v>#N/A</v>
      </c>
      <c r="G85" s="94" t="e">
        <f t="shared" ca="1" si="13"/>
        <v>#N/A</v>
      </c>
      <c r="H85" s="94" t="e">
        <f t="shared" ca="1" si="14"/>
        <v>#N/A</v>
      </c>
      <c r="I85" s="161" t="e">
        <f t="shared" ca="1" si="15"/>
        <v>#N/A</v>
      </c>
      <c r="J85" s="156" t="e">
        <f t="shared" ca="1" si="33"/>
        <v>#N/A</v>
      </c>
      <c r="K85" s="160" t="e">
        <f t="shared" ca="1" si="16"/>
        <v>#N/A</v>
      </c>
      <c r="L85" s="101" t="e">
        <f t="shared" ca="1" si="17"/>
        <v>#N/A</v>
      </c>
      <c r="M85" s="101" t="e">
        <f t="shared" ca="1" si="0"/>
        <v>#N/A</v>
      </c>
      <c r="N85" s="101" t="e">
        <f t="shared" ca="1" si="18"/>
        <v>#N/A</v>
      </c>
      <c r="O85" s="285">
        <f t="shared" si="1"/>
        <v>0.99152756532843667</v>
      </c>
      <c r="P85" s="891">
        <f t="shared" si="34"/>
        <v>1.4350297757761421E-3</v>
      </c>
      <c r="Q85" s="99">
        <f t="shared" si="35"/>
        <v>0.99152756532843667</v>
      </c>
      <c r="R85" s="99" t="e">
        <f t="shared" ca="1" si="2"/>
        <v>#N/A</v>
      </c>
      <c r="S85" s="161" t="e">
        <f t="shared" ca="1" si="19"/>
        <v>#N/A</v>
      </c>
      <c r="T85" s="286" t="e">
        <f t="shared" ca="1" si="20"/>
        <v>#N/A</v>
      </c>
      <c r="U85" s="285">
        <f t="shared" si="3"/>
        <v>0.99980093197751951</v>
      </c>
      <c r="V85" s="891">
        <f t="shared" si="36"/>
        <v>6.079209611342673E-5</v>
      </c>
      <c r="W85" s="99">
        <f t="shared" si="37"/>
        <v>0.99980093197751951</v>
      </c>
      <c r="X85" s="99" t="e">
        <f t="shared" ca="1" si="21"/>
        <v>#N/A</v>
      </c>
      <c r="Y85" s="161" t="e">
        <f t="shared" ca="1" si="22"/>
        <v>#N/A</v>
      </c>
      <c r="Z85" s="286" t="e">
        <f t="shared" ca="1" si="23"/>
        <v>#N/A</v>
      </c>
      <c r="AA85" s="285">
        <f t="shared" si="4"/>
        <v>0.90159797339695968</v>
      </c>
      <c r="AB85" s="891">
        <f t="shared" si="38"/>
        <v>7.8048060547635245E-3</v>
      </c>
      <c r="AC85" s="99">
        <f t="shared" si="39"/>
        <v>0.90159797339695968</v>
      </c>
      <c r="AD85" s="99" t="e">
        <f t="shared" ca="1" si="24"/>
        <v>#N/A</v>
      </c>
      <c r="AE85" s="161" t="e">
        <f t="shared" ca="1" si="25"/>
        <v>#N/A</v>
      </c>
      <c r="AF85" s="286" t="e">
        <f t="shared" ca="1" si="26"/>
        <v>#N/A</v>
      </c>
      <c r="AG85" s="285">
        <f t="shared" si="5"/>
        <v>0.96511870491263541</v>
      </c>
      <c r="AH85" s="891">
        <f t="shared" si="46"/>
        <v>4.3541547270059544E-3</v>
      </c>
      <c r="AI85" s="99">
        <f t="shared" si="40"/>
        <v>0.96511870491263541</v>
      </c>
      <c r="AJ85" s="99" t="e">
        <f t="shared" ca="1" si="6"/>
        <v>#N/A</v>
      </c>
      <c r="AK85" s="161" t="e">
        <f t="shared" ca="1" si="27"/>
        <v>#N/A</v>
      </c>
      <c r="AL85" s="286" t="e">
        <f t="shared" ca="1" si="7"/>
        <v>#N/A</v>
      </c>
      <c r="AM85" s="285">
        <f t="shared" si="8"/>
        <v>0.9622267304782206</v>
      </c>
      <c r="AN85" s="891">
        <f t="shared" si="41"/>
        <v>4.9111649939920232E-3</v>
      </c>
      <c r="AO85" s="99">
        <f t="shared" si="42"/>
        <v>0.9622267304782206</v>
      </c>
      <c r="AP85" s="99" t="e">
        <f t="shared" ca="1" si="28"/>
        <v>#N/A</v>
      </c>
      <c r="AQ85" s="161" t="e">
        <f t="shared" ca="1" si="29"/>
        <v>#N/A</v>
      </c>
      <c r="AR85" s="286" t="e">
        <f t="shared" ca="1" si="9"/>
        <v>#N/A</v>
      </c>
      <c r="AS85" s="285">
        <f t="shared" si="10"/>
        <v>0.98536044767287279</v>
      </c>
      <c r="AT85" s="891">
        <f t="shared" si="43"/>
        <v>2.1732439910294721E-3</v>
      </c>
      <c r="AU85" s="99">
        <f t="shared" si="44"/>
        <v>0.98536044767287279</v>
      </c>
      <c r="AV85" s="99" t="e">
        <f t="shared" ca="1" si="30"/>
        <v>#N/A</v>
      </c>
      <c r="AW85" s="161" t="e">
        <f t="shared" ca="1" si="31"/>
        <v>#N/A</v>
      </c>
      <c r="AX85" s="286" t="e">
        <f t="shared" ca="1" si="11"/>
        <v>#N/A</v>
      </c>
    </row>
    <row r="86" spans="2:50" ht="12.75" customHeight="1" x14ac:dyDescent="0.25">
      <c r="B86" s="104">
        <f t="shared" si="32"/>
        <v>29</v>
      </c>
      <c r="C86" s="94">
        <v>30</v>
      </c>
      <c r="D86" s="94">
        <f t="shared" si="12"/>
        <v>0.99273730359960211</v>
      </c>
      <c r="E86" s="94">
        <f t="shared" si="45"/>
        <v>1.2097382711654392E-3</v>
      </c>
      <c r="F86" s="94" t="e">
        <f ca="1">IF(AND(H86=0,SUM(H86:H$116)&gt;0),0.0001,H86)</f>
        <v>#N/A</v>
      </c>
      <c r="G86" s="94" t="e">
        <f t="shared" ca="1" si="13"/>
        <v>#N/A</v>
      </c>
      <c r="H86" s="94" t="e">
        <f t="shared" ca="1" si="14"/>
        <v>#N/A</v>
      </c>
      <c r="I86" s="161" t="e">
        <f t="shared" ca="1" si="15"/>
        <v>#N/A</v>
      </c>
      <c r="J86" s="156" t="e">
        <f t="shared" ca="1" si="33"/>
        <v>#N/A</v>
      </c>
      <c r="K86" s="160" t="e">
        <f t="shared" ca="1" si="16"/>
        <v>#N/A</v>
      </c>
      <c r="L86" s="101" t="e">
        <f t="shared" ca="1" si="17"/>
        <v>#N/A</v>
      </c>
      <c r="M86" s="101" t="e">
        <f t="shared" ca="1" si="0"/>
        <v>#N/A</v>
      </c>
      <c r="N86" s="101" t="e">
        <f t="shared" ca="1" si="18"/>
        <v>#N/A</v>
      </c>
      <c r="O86" s="285">
        <f t="shared" si="1"/>
        <v>0.99273730359960211</v>
      </c>
      <c r="P86" s="891">
        <f t="shared" si="34"/>
        <v>1.2097382711654392E-3</v>
      </c>
      <c r="Q86" s="99">
        <f t="shared" si="35"/>
        <v>0.99273730359960211</v>
      </c>
      <c r="R86" s="99" t="e">
        <f t="shared" ca="1" si="2"/>
        <v>#N/A</v>
      </c>
      <c r="S86" s="161" t="e">
        <f t="shared" ca="1" si="19"/>
        <v>#N/A</v>
      </c>
      <c r="T86" s="286" t="e">
        <f t="shared" ca="1" si="20"/>
        <v>#N/A</v>
      </c>
      <c r="U86" s="285">
        <f t="shared" si="3"/>
        <v>0.99984681075222537</v>
      </c>
      <c r="V86" s="891">
        <f t="shared" si="36"/>
        <v>4.5878774705854219E-5</v>
      </c>
      <c r="W86" s="99">
        <f t="shared" si="37"/>
        <v>0.99984681075222537</v>
      </c>
      <c r="X86" s="99" t="e">
        <f t="shared" ca="1" si="21"/>
        <v>#N/A</v>
      </c>
      <c r="Y86" s="161" t="e">
        <f t="shared" ca="1" si="22"/>
        <v>#N/A</v>
      </c>
      <c r="Z86" s="286" t="e">
        <f t="shared" ca="1" si="23"/>
        <v>#N/A</v>
      </c>
      <c r="AA86" s="285">
        <f t="shared" si="4"/>
        <v>0.9087311054968632</v>
      </c>
      <c r="AB86" s="891">
        <f t="shared" si="38"/>
        <v>7.1331320999035164E-3</v>
      </c>
      <c r="AC86" s="99">
        <f t="shared" si="39"/>
        <v>0.9087311054968632</v>
      </c>
      <c r="AD86" s="99" t="e">
        <f t="shared" ca="1" si="24"/>
        <v>#N/A</v>
      </c>
      <c r="AE86" s="161" t="e">
        <f t="shared" ca="1" si="25"/>
        <v>#N/A</v>
      </c>
      <c r="AF86" s="286" t="e">
        <f t="shared" ca="1" si="26"/>
        <v>#N/A</v>
      </c>
      <c r="AG86" s="285">
        <f t="shared" si="5"/>
        <v>0.96894049327567577</v>
      </c>
      <c r="AH86" s="891">
        <f t="shared" si="46"/>
        <v>3.8217883630403682E-3</v>
      </c>
      <c r="AI86" s="99">
        <f t="shared" si="40"/>
        <v>0.96894049327567577</v>
      </c>
      <c r="AJ86" s="99" t="e">
        <f t="shared" ca="1" si="6"/>
        <v>#N/A</v>
      </c>
      <c r="AK86" s="161" t="e">
        <f t="shared" ca="1" si="27"/>
        <v>#N/A</v>
      </c>
      <c r="AL86" s="286" t="e">
        <f t="shared" ca="1" si="7"/>
        <v>#N/A</v>
      </c>
      <c r="AM86" s="285">
        <f t="shared" si="8"/>
        <v>0.9665234546172381</v>
      </c>
      <c r="AN86" s="891">
        <f t="shared" si="41"/>
        <v>4.2967241390174937E-3</v>
      </c>
      <c r="AO86" s="99">
        <f t="shared" si="42"/>
        <v>0.9665234546172381</v>
      </c>
      <c r="AP86" s="99" t="e">
        <f t="shared" ca="1" si="28"/>
        <v>#N/A</v>
      </c>
      <c r="AQ86" s="161" t="e">
        <f t="shared" ca="1" si="29"/>
        <v>#N/A</v>
      </c>
      <c r="AR86" s="286" t="e">
        <f t="shared" ca="1" si="9"/>
        <v>#N/A</v>
      </c>
      <c r="AS86" s="285">
        <f t="shared" si="10"/>
        <v>0.98722593803633274</v>
      </c>
      <c r="AT86" s="891">
        <f t="shared" si="43"/>
        <v>1.865490363459954E-3</v>
      </c>
      <c r="AU86" s="99">
        <f t="shared" si="44"/>
        <v>0.98722593803633274</v>
      </c>
      <c r="AV86" s="99" t="e">
        <f t="shared" ca="1" si="30"/>
        <v>#N/A</v>
      </c>
      <c r="AW86" s="161" t="e">
        <f t="shared" ca="1" si="31"/>
        <v>#N/A</v>
      </c>
      <c r="AX86" s="286" t="e">
        <f t="shared" ca="1" si="11"/>
        <v>#N/A</v>
      </c>
    </row>
    <row r="87" spans="2:50" x14ac:dyDescent="0.25">
      <c r="B87" s="104">
        <f t="shared" si="32"/>
        <v>30</v>
      </c>
      <c r="C87" s="94">
        <v>31</v>
      </c>
      <c r="D87" s="94">
        <f t="shared" si="12"/>
        <v>0.99375977323466236</v>
      </c>
      <c r="E87" s="94">
        <f t="shared" si="45"/>
        <v>1.0224696350602525E-3</v>
      </c>
      <c r="F87" s="94" t="e">
        <f ca="1">IF(AND(H87=0,SUM(H87:H$116)&gt;0),0.0001,H87)</f>
        <v>#N/A</v>
      </c>
      <c r="G87" s="94" t="e">
        <f t="shared" ca="1" si="13"/>
        <v>#N/A</v>
      </c>
      <c r="H87" s="94" t="e">
        <f t="shared" ca="1" si="14"/>
        <v>#N/A</v>
      </c>
      <c r="I87" s="161" t="e">
        <f t="shared" ca="1" si="15"/>
        <v>#N/A</v>
      </c>
      <c r="J87" s="156" t="e">
        <f t="shared" ca="1" si="33"/>
        <v>#N/A</v>
      </c>
      <c r="K87" s="160" t="e">
        <f t="shared" ca="1" si="16"/>
        <v>#N/A</v>
      </c>
      <c r="L87" s="101" t="e">
        <f t="shared" ca="1" si="17"/>
        <v>#N/A</v>
      </c>
      <c r="M87" s="101" t="e">
        <f t="shared" ca="1" si="0"/>
        <v>#N/A</v>
      </c>
      <c r="N87" s="101" t="e">
        <f t="shared" ca="1" si="18"/>
        <v>#N/A</v>
      </c>
      <c r="O87" s="285">
        <f t="shared" si="1"/>
        <v>0.99375977323466236</v>
      </c>
      <c r="P87" s="891">
        <f t="shared" si="34"/>
        <v>1.0224696350602525E-3</v>
      </c>
      <c r="Q87" s="99">
        <f t="shared" si="35"/>
        <v>0.99375977323466236</v>
      </c>
      <c r="R87" s="99" t="e">
        <f t="shared" ca="1" si="2"/>
        <v>#N/A</v>
      </c>
      <c r="S87" s="161" t="e">
        <f t="shared" ca="1" si="19"/>
        <v>#N/A</v>
      </c>
      <c r="T87" s="286" t="e">
        <f t="shared" ca="1" si="20"/>
        <v>#N/A</v>
      </c>
      <c r="U87" s="285">
        <f t="shared" si="3"/>
        <v>0.999881600111306</v>
      </c>
      <c r="V87" s="891">
        <f t="shared" si="36"/>
        <v>3.4789359080633631E-5</v>
      </c>
      <c r="W87" s="99">
        <f t="shared" si="37"/>
        <v>0.999881600111306</v>
      </c>
      <c r="X87" s="99" t="e">
        <f t="shared" ca="1" si="21"/>
        <v>#N/A</v>
      </c>
      <c r="Y87" s="161" t="e">
        <f t="shared" ca="1" si="22"/>
        <v>#N/A</v>
      </c>
      <c r="Z87" s="286" t="e">
        <f t="shared" ca="1" si="23"/>
        <v>#N/A</v>
      </c>
      <c r="AA87" s="285">
        <f t="shared" si="4"/>
        <v>0.91525847262139992</v>
      </c>
      <c r="AB87" s="891">
        <f t="shared" si="38"/>
        <v>6.5273671245367204E-3</v>
      </c>
      <c r="AC87" s="99">
        <f t="shared" si="39"/>
        <v>0.91525847262139992</v>
      </c>
      <c r="AD87" s="99" t="e">
        <f t="shared" ca="1" si="24"/>
        <v>#N/A</v>
      </c>
      <c r="AE87" s="161" t="e">
        <f t="shared" ca="1" si="25"/>
        <v>#N/A</v>
      </c>
      <c r="AF87" s="286" t="e">
        <f t="shared" ca="1" si="26"/>
        <v>#N/A</v>
      </c>
      <c r="AG87" s="285">
        <f t="shared" si="5"/>
        <v>0.97230067379731122</v>
      </c>
      <c r="AH87" s="891">
        <f t="shared" si="46"/>
        <v>3.3601805216354474E-3</v>
      </c>
      <c r="AI87" s="99">
        <f t="shared" si="40"/>
        <v>0.97230067379731122</v>
      </c>
      <c r="AJ87" s="99" t="e">
        <f t="shared" ca="1" si="6"/>
        <v>#N/A</v>
      </c>
      <c r="AK87" s="161" t="e">
        <f t="shared" ca="1" si="27"/>
        <v>#N/A</v>
      </c>
      <c r="AL87" s="286" t="e">
        <f t="shared" ca="1" si="7"/>
        <v>#N/A</v>
      </c>
      <c r="AM87" s="285">
        <f t="shared" si="8"/>
        <v>0.97028823720397561</v>
      </c>
      <c r="AN87" s="891">
        <f t="shared" si="41"/>
        <v>3.764782586737514E-3</v>
      </c>
      <c r="AO87" s="99">
        <f t="shared" si="42"/>
        <v>0.97028823720397561</v>
      </c>
      <c r="AP87" s="99" t="e">
        <f t="shared" ca="1" si="28"/>
        <v>#N/A</v>
      </c>
      <c r="AQ87" s="161" t="e">
        <f t="shared" ca="1" si="29"/>
        <v>#N/A</v>
      </c>
      <c r="AR87" s="286" t="e">
        <f t="shared" ca="1" si="9"/>
        <v>#N/A</v>
      </c>
      <c r="AS87" s="285">
        <f t="shared" si="10"/>
        <v>0.988830936958628</v>
      </c>
      <c r="AT87" s="891">
        <f t="shared" si="43"/>
        <v>1.6049989222952643E-3</v>
      </c>
      <c r="AU87" s="99">
        <f t="shared" si="44"/>
        <v>0.988830936958628</v>
      </c>
      <c r="AV87" s="99" t="e">
        <f t="shared" ca="1" si="30"/>
        <v>#N/A</v>
      </c>
      <c r="AW87" s="161" t="e">
        <f t="shared" ca="1" si="31"/>
        <v>#N/A</v>
      </c>
      <c r="AX87" s="286" t="e">
        <f t="shared" ca="1" si="11"/>
        <v>#N/A</v>
      </c>
    </row>
    <row r="88" spans="2:50" x14ac:dyDescent="0.25">
      <c r="B88" s="104">
        <f t="shared" si="32"/>
        <v>31</v>
      </c>
      <c r="C88" s="94">
        <v>32</v>
      </c>
      <c r="D88" s="94">
        <f t="shared" si="12"/>
        <v>0.99462615199731452</v>
      </c>
      <c r="E88" s="94">
        <f t="shared" si="45"/>
        <v>8.6637876265216462E-4</v>
      </c>
      <c r="F88" s="94" t="e">
        <f ca="1">IF(AND(H88=0,SUM(H88:H$116)&gt;0),0.0001,H88)</f>
        <v>#N/A</v>
      </c>
      <c r="G88" s="94" t="e">
        <f t="shared" ca="1" si="13"/>
        <v>#N/A</v>
      </c>
      <c r="H88" s="94" t="e">
        <f t="shared" ca="1" si="14"/>
        <v>#N/A</v>
      </c>
      <c r="I88" s="161" t="e">
        <f t="shared" ca="1" si="15"/>
        <v>#N/A</v>
      </c>
      <c r="J88" s="156" t="e">
        <f t="shared" ca="1" si="33"/>
        <v>#N/A</v>
      </c>
      <c r="K88" s="160" t="e">
        <f t="shared" ca="1" si="16"/>
        <v>#N/A</v>
      </c>
      <c r="L88" s="101" t="e">
        <f t="shared" ca="1" si="17"/>
        <v>#N/A</v>
      </c>
      <c r="M88" s="101" t="e">
        <f t="shared" ca="1" si="0"/>
        <v>#N/A</v>
      </c>
      <c r="N88" s="101" t="e">
        <f t="shared" ca="1" si="18"/>
        <v>#N/A</v>
      </c>
      <c r="O88" s="285">
        <f t="shared" si="1"/>
        <v>0.99462615199731452</v>
      </c>
      <c r="P88" s="891">
        <f t="shared" si="34"/>
        <v>8.6637876265216462E-4</v>
      </c>
      <c r="Q88" s="99">
        <f t="shared" si="35"/>
        <v>0.99462615199731452</v>
      </c>
      <c r="R88" s="99" t="e">
        <f t="shared" ca="1" si="2"/>
        <v>#N/A</v>
      </c>
      <c r="S88" s="161" t="e">
        <f t="shared" ca="1" si="19"/>
        <v>#N/A</v>
      </c>
      <c r="T88" s="286" t="e">
        <f t="shared" ca="1" si="20"/>
        <v>#N/A</v>
      </c>
      <c r="U88" s="285">
        <f t="shared" si="3"/>
        <v>0.99990810226135796</v>
      </c>
      <c r="V88" s="891">
        <f t="shared" si="36"/>
        <v>2.6502150051954665E-5</v>
      </c>
      <c r="W88" s="99">
        <f t="shared" si="37"/>
        <v>0.99990810226135796</v>
      </c>
      <c r="X88" s="99" t="e">
        <f t="shared" ca="1" si="21"/>
        <v>#N/A</v>
      </c>
      <c r="Y88" s="161" t="e">
        <f t="shared" ca="1" si="22"/>
        <v>#N/A</v>
      </c>
      <c r="Z88" s="286" t="e">
        <f t="shared" ca="1" si="23"/>
        <v>#N/A</v>
      </c>
      <c r="AA88" s="285">
        <f t="shared" si="4"/>
        <v>0.92123879864804248</v>
      </c>
      <c r="AB88" s="891">
        <f t="shared" si="38"/>
        <v>5.9803260266425573E-3</v>
      </c>
      <c r="AC88" s="99">
        <f t="shared" si="39"/>
        <v>0.92123879864804248</v>
      </c>
      <c r="AD88" s="99" t="e">
        <f t="shared" ca="1" si="24"/>
        <v>#N/A</v>
      </c>
      <c r="AE88" s="161" t="e">
        <f t="shared" ca="1" si="25"/>
        <v>#N/A</v>
      </c>
      <c r="AF88" s="286" t="e">
        <f t="shared" ca="1" si="26"/>
        <v>#N/A</v>
      </c>
      <c r="AG88" s="285">
        <f t="shared" si="5"/>
        <v>0.97525992051123023</v>
      </c>
      <c r="AH88" s="891">
        <f t="shared" si="46"/>
        <v>2.959246713919006E-3</v>
      </c>
      <c r="AI88" s="99">
        <f t="shared" si="40"/>
        <v>0.97525992051123023</v>
      </c>
      <c r="AJ88" s="99" t="e">
        <f t="shared" ca="1" si="6"/>
        <v>#N/A</v>
      </c>
      <c r="AK88" s="161" t="e">
        <f t="shared" ca="1" si="27"/>
        <v>#N/A</v>
      </c>
      <c r="AL88" s="286" t="e">
        <f t="shared" ca="1" si="7"/>
        <v>#N/A</v>
      </c>
      <c r="AM88" s="285">
        <f t="shared" si="8"/>
        <v>0.97359186234335604</v>
      </c>
      <c r="AN88" s="891">
        <f t="shared" si="41"/>
        <v>3.3036251393804283E-3</v>
      </c>
      <c r="AO88" s="99">
        <f t="shared" si="42"/>
        <v>0.97359186234335604</v>
      </c>
      <c r="AP88" s="99" t="e">
        <f t="shared" ca="1" si="28"/>
        <v>#N/A</v>
      </c>
      <c r="AQ88" s="161" t="e">
        <f t="shared" ca="1" si="29"/>
        <v>#N/A</v>
      </c>
      <c r="AR88" s="286" t="e">
        <f t="shared" ca="1" si="9"/>
        <v>#N/A</v>
      </c>
      <c r="AS88" s="285">
        <f t="shared" si="10"/>
        <v>0.99021491086637359</v>
      </c>
      <c r="AT88" s="891">
        <f t="shared" si="43"/>
        <v>1.3839739077455837E-3</v>
      </c>
      <c r="AU88" s="99">
        <f t="shared" si="44"/>
        <v>0.99021491086637359</v>
      </c>
      <c r="AV88" s="99" t="e">
        <f t="shared" ca="1" si="30"/>
        <v>#N/A</v>
      </c>
      <c r="AW88" s="161" t="e">
        <f t="shared" ca="1" si="31"/>
        <v>#N/A</v>
      </c>
      <c r="AX88" s="286" t="e">
        <f t="shared" ca="1" si="11"/>
        <v>#N/A</v>
      </c>
    </row>
    <row r="89" spans="2:50" x14ac:dyDescent="0.25">
      <c r="B89" s="104">
        <f t="shared" si="32"/>
        <v>32</v>
      </c>
      <c r="C89" s="94">
        <v>33</v>
      </c>
      <c r="D89" s="94">
        <f t="shared" si="12"/>
        <v>0.9953620771293662</v>
      </c>
      <c r="E89" s="94">
        <f t="shared" si="45"/>
        <v>7.3592513205167354E-4</v>
      </c>
      <c r="F89" s="94" t="e">
        <f ca="1">IF(AND(H89=0,SUM(H89:H$116)&gt;0),0.0001,H89)</f>
        <v>#N/A</v>
      </c>
      <c r="G89" s="94" t="e">
        <f t="shared" ca="1" si="13"/>
        <v>#N/A</v>
      </c>
      <c r="H89" s="94" t="e">
        <f t="shared" ref="H89:H116" ca="1" si="47">LOOKUP(B89,$C$405:$C$600,(OFFSET($C$405:$C$600,0,1)))</f>
        <v>#N/A</v>
      </c>
      <c r="I89" s="161" t="e">
        <f t="shared" ca="1" si="15"/>
        <v>#N/A</v>
      </c>
      <c r="J89" s="156" t="e">
        <f t="shared" ca="1" si="33"/>
        <v>#N/A</v>
      </c>
      <c r="K89" s="160" t="e">
        <f t="shared" ca="1" si="16"/>
        <v>#N/A</v>
      </c>
      <c r="L89" s="101" t="e">
        <f t="shared" ref="L89:L116" ca="1" si="48">IF($E$41=$F$41,AE89,IF($E$41=$G$41,AW89,"n/a"))</f>
        <v>#N/A</v>
      </c>
      <c r="M89" s="101" t="e">
        <f t="shared" ref="M89:M116" ca="1" si="49">IF($E$41=$F$41,Y89,IF($E$41=$G$41,AQ89,"n/a"))</f>
        <v>#N/A</v>
      </c>
      <c r="N89" s="101" t="e">
        <f t="shared" ca="1" si="18"/>
        <v>#N/A</v>
      </c>
      <c r="O89" s="285">
        <f t="shared" ref="O89:O116" si="50">_xlfn.LOGNORM.DIST($C89, O$52, O$53,TRUE)</f>
        <v>0.9953620771293662</v>
      </c>
      <c r="P89" s="891">
        <f t="shared" si="34"/>
        <v>7.3592513205167354E-4</v>
      </c>
      <c r="Q89" s="99">
        <f t="shared" si="35"/>
        <v>0.9953620771293662</v>
      </c>
      <c r="R89" s="99" t="e">
        <f t="shared" ref="R89:R116" ca="1" si="51">ROUND(P89*$F$50,0)</f>
        <v>#N/A</v>
      </c>
      <c r="S89" s="161" t="e">
        <f t="shared" ca="1" si="19"/>
        <v>#N/A</v>
      </c>
      <c r="T89" s="286" t="e">
        <f t="shared" ca="1" si="20"/>
        <v>#N/A</v>
      </c>
      <c r="U89" s="285">
        <f t="shared" ref="U89:U116" si="52">_xlfn.LOGNORM.DIST($C89, U$52, U$53, TRUE)</f>
        <v>0.99992838135836604</v>
      </c>
      <c r="V89" s="891">
        <f t="shared" si="36"/>
        <v>2.0279097008080171E-5</v>
      </c>
      <c r="W89" s="99">
        <f t="shared" si="37"/>
        <v>0.99992838135836604</v>
      </c>
      <c r="X89" s="99" t="e">
        <f t="shared" ca="1" si="21"/>
        <v>#N/A</v>
      </c>
      <c r="Y89" s="161" t="e">
        <f t="shared" ca="1" si="22"/>
        <v>#N/A</v>
      </c>
      <c r="Z89" s="286" t="e">
        <f t="shared" ca="1" si="23"/>
        <v>#N/A</v>
      </c>
      <c r="AA89" s="285">
        <f t="shared" ref="AA89:AA116" si="53">_xlfn.LOGNORM.DIST($C89, AA$52, AA$53, TRUE)</f>
        <v>0.9267244683380359</v>
      </c>
      <c r="AB89" s="891">
        <f t="shared" si="38"/>
        <v>5.4856696899934221E-3</v>
      </c>
      <c r="AC89" s="99">
        <f t="shared" si="39"/>
        <v>0.9267244683380359</v>
      </c>
      <c r="AD89" s="99" t="e">
        <f t="shared" ca="1" si="24"/>
        <v>#N/A</v>
      </c>
      <c r="AE89" s="161" t="e">
        <f t="shared" ca="1" si="25"/>
        <v>#N/A</v>
      </c>
      <c r="AF89" s="286" t="e">
        <f t="shared" ca="1" si="26"/>
        <v>#N/A</v>
      </c>
      <c r="AG89" s="285">
        <f t="shared" ref="AG89:AG116" si="54">_xlfn.LOGNORM.DIST($C89, AG$52, AG$53, TRUE)</f>
        <v>0.97787034085765179</v>
      </c>
      <c r="AH89" s="891">
        <f t="shared" si="46"/>
        <v>2.6104203464215603E-3</v>
      </c>
      <c r="AI89" s="99">
        <f t="shared" si="40"/>
        <v>0.97787034085765179</v>
      </c>
      <c r="AJ89" s="99" t="e">
        <f t="shared" ref="AJ89:AJ116" ca="1" si="55">ROUND(AH89*$G$50,0)</f>
        <v>#N/A</v>
      </c>
      <c r="AK89" s="161" t="e">
        <f t="shared" ca="1" si="27"/>
        <v>#N/A</v>
      </c>
      <c r="AL89" s="286" t="e">
        <f t="shared" ref="AL89:AL116" ca="1" si="56">IF(NOT($J89="n/a"),($J89/AI89),0)</f>
        <v>#N/A</v>
      </c>
      <c r="AM89" s="285">
        <f t="shared" ref="AM89:AM116" si="57">_xlfn.LOGNORM.DIST($C89, AM$52, AM$53, TRUE)</f>
        <v>0.97649512670974392</v>
      </c>
      <c r="AN89" s="891">
        <f t="shared" si="41"/>
        <v>2.903264366387881E-3</v>
      </c>
      <c r="AO89" s="99">
        <f t="shared" si="42"/>
        <v>0.97649512670974392</v>
      </c>
      <c r="AP89" s="99" t="e">
        <f t="shared" ref="AP89:AP116" ca="1" si="58">ROUND(AN89*$G$52,0)</f>
        <v>#N/A</v>
      </c>
      <c r="AQ89" s="161" t="e">
        <f t="shared" ca="1" si="29"/>
        <v>#N/A</v>
      </c>
      <c r="AR89" s="286" t="e">
        <f t="shared" ref="AR89:AR116" ca="1" si="59">IF(NOT($J89="n/a"),($J89/AO89),0)</f>
        <v>#N/A</v>
      </c>
      <c r="AS89" s="285">
        <f t="shared" ref="AS89:AS116" si="60">_xlfn.LOGNORM.DIST($C89, AS$52, AS$53, TRUE)</f>
        <v>0.99141089861916032</v>
      </c>
      <c r="AT89" s="891">
        <f t="shared" si="43"/>
        <v>1.1959877527867313E-3</v>
      </c>
      <c r="AU89" s="99">
        <f t="shared" si="44"/>
        <v>0.99141089861916032</v>
      </c>
      <c r="AV89" s="99" t="e">
        <f t="shared" ca="1" si="30"/>
        <v>#N/A</v>
      </c>
      <c r="AW89" s="161" t="e">
        <f t="shared" ca="1" si="31"/>
        <v>#N/A</v>
      </c>
      <c r="AX89" s="286" t="e">
        <f t="shared" ref="AX89:AX116" ca="1" si="61">IF(NOT($J89="n/a"),($J89/AU89),0)</f>
        <v>#N/A</v>
      </c>
    </row>
    <row r="90" spans="2:50" x14ac:dyDescent="0.25">
      <c r="B90" s="104">
        <f t="shared" si="32"/>
        <v>33</v>
      </c>
      <c r="C90" s="94">
        <v>34</v>
      </c>
      <c r="D90" s="94">
        <f t="shared" si="12"/>
        <v>0.99598868870130763</v>
      </c>
      <c r="E90" s="94">
        <f t="shared" si="45"/>
        <v>6.2661157194143779E-4</v>
      </c>
      <c r="F90" s="94" t="e">
        <f ca="1">IF(AND(H90=0,SUM(H90:H$116)&gt;0),0.0001,H90)</f>
        <v>#N/A</v>
      </c>
      <c r="G90" s="94" t="e">
        <f t="shared" ca="1" si="13"/>
        <v>#N/A</v>
      </c>
      <c r="H90" s="94" t="e">
        <f t="shared" ca="1" si="47"/>
        <v>#N/A</v>
      </c>
      <c r="I90" s="161" t="e">
        <f t="shared" ca="1" si="15"/>
        <v>#N/A</v>
      </c>
      <c r="J90" s="156" t="e">
        <f t="shared" ca="1" si="33"/>
        <v>#N/A</v>
      </c>
      <c r="K90" s="160" t="e">
        <f t="shared" ca="1" si="16"/>
        <v>#N/A</v>
      </c>
      <c r="L90" s="101" t="e">
        <f t="shared" ca="1" si="48"/>
        <v>#N/A</v>
      </c>
      <c r="M90" s="101" t="e">
        <f t="shared" ca="1" si="49"/>
        <v>#N/A</v>
      </c>
      <c r="N90" s="101" t="e">
        <f t="shared" ca="1" si="18"/>
        <v>#N/A</v>
      </c>
      <c r="O90" s="285">
        <f t="shared" si="50"/>
        <v>0.99598868870130763</v>
      </c>
      <c r="P90" s="891">
        <f t="shared" si="34"/>
        <v>6.2661157194143779E-4</v>
      </c>
      <c r="Q90" s="99">
        <f t="shared" si="35"/>
        <v>0.99598868870130763</v>
      </c>
      <c r="R90" s="99" t="e">
        <f t="shared" ca="1" si="51"/>
        <v>#N/A</v>
      </c>
      <c r="S90" s="161" t="e">
        <f t="shared" ca="1" si="19"/>
        <v>#N/A</v>
      </c>
      <c r="T90" s="286" t="e">
        <f t="shared" ca="1" si="20"/>
        <v>#N/A</v>
      </c>
      <c r="U90" s="285">
        <f t="shared" si="52"/>
        <v>0.9999439655527731</v>
      </c>
      <c r="V90" s="891">
        <f t="shared" si="36"/>
        <v>1.5584194407058938E-5</v>
      </c>
      <c r="W90" s="99">
        <f t="shared" si="37"/>
        <v>0.9999439655527731</v>
      </c>
      <c r="X90" s="99" t="e">
        <f t="shared" ca="1" si="21"/>
        <v>#N/A</v>
      </c>
      <c r="Y90" s="161" t="e">
        <f t="shared" ca="1" si="22"/>
        <v>#N/A</v>
      </c>
      <c r="Z90" s="286" t="e">
        <f t="shared" ca="1" si="23"/>
        <v>#N/A</v>
      </c>
      <c r="AA90" s="285">
        <f t="shared" si="53"/>
        <v>0.93176226964123221</v>
      </c>
      <c r="AB90" s="891">
        <f t="shared" si="38"/>
        <v>5.0378013031963098E-3</v>
      </c>
      <c r="AC90" s="99">
        <f t="shared" si="39"/>
        <v>0.93176226964123221</v>
      </c>
      <c r="AD90" s="99" t="e">
        <f t="shared" ca="1" si="24"/>
        <v>#N/A</v>
      </c>
      <c r="AE90" s="161" t="e">
        <f t="shared" ca="1" si="25"/>
        <v>#N/A</v>
      </c>
      <c r="AF90" s="286" t="e">
        <f t="shared" ca="1" si="26"/>
        <v>#N/A</v>
      </c>
      <c r="AG90" s="285">
        <f t="shared" si="54"/>
        <v>0.98017675681746563</v>
      </c>
      <c r="AH90" s="891">
        <f t="shared" si="46"/>
        <v>2.3064159598138456E-3</v>
      </c>
      <c r="AI90" s="99">
        <f t="shared" si="40"/>
        <v>0.98017675681746563</v>
      </c>
      <c r="AJ90" s="99" t="e">
        <f t="shared" ca="1" si="55"/>
        <v>#N/A</v>
      </c>
      <c r="AK90" s="161" t="e">
        <f t="shared" ca="1" si="27"/>
        <v>#N/A</v>
      </c>
      <c r="AL90" s="286" t="e">
        <f t="shared" ca="1" si="56"/>
        <v>#N/A</v>
      </c>
      <c r="AM90" s="285">
        <f t="shared" si="57"/>
        <v>0.97905030961249906</v>
      </c>
      <c r="AN90" s="891">
        <f t="shared" si="41"/>
        <v>2.5551829027551376E-3</v>
      </c>
      <c r="AO90" s="99">
        <f t="shared" si="42"/>
        <v>0.97905030961249906</v>
      </c>
      <c r="AP90" s="99" t="e">
        <f t="shared" ca="1" si="58"/>
        <v>#N/A</v>
      </c>
      <c r="AQ90" s="161" t="e">
        <f t="shared" ca="1" si="29"/>
        <v>#N/A</v>
      </c>
      <c r="AR90" s="286" t="e">
        <f t="shared" ca="1" si="59"/>
        <v>#N/A</v>
      </c>
      <c r="AS90" s="285">
        <f t="shared" si="60"/>
        <v>0.99244662666298822</v>
      </c>
      <c r="AT90" s="891">
        <f t="shared" si="43"/>
        <v>1.0357280438278993E-3</v>
      </c>
      <c r="AU90" s="99">
        <f t="shared" si="44"/>
        <v>0.99244662666298822</v>
      </c>
      <c r="AV90" s="99" t="e">
        <f t="shared" ca="1" si="30"/>
        <v>#N/A</v>
      </c>
      <c r="AW90" s="161" t="e">
        <f t="shared" ca="1" si="31"/>
        <v>#N/A</v>
      </c>
      <c r="AX90" s="286" t="e">
        <f t="shared" ca="1" si="61"/>
        <v>#N/A</v>
      </c>
    </row>
    <row r="91" spans="2:50" x14ac:dyDescent="0.25">
      <c r="B91" s="104">
        <f t="shared" si="32"/>
        <v>34</v>
      </c>
      <c r="C91" s="94">
        <v>35</v>
      </c>
      <c r="D91" s="94">
        <f t="shared" si="12"/>
        <v>0.9965234662521183</v>
      </c>
      <c r="E91" s="94">
        <f t="shared" si="45"/>
        <v>5.3477755081066114E-4</v>
      </c>
      <c r="F91" s="94" t="e">
        <f ca="1">IF(AND(H91=0,SUM(H91:H$116)&gt;0),0.0001,H91)</f>
        <v>#N/A</v>
      </c>
      <c r="G91" s="94" t="e">
        <f t="shared" ca="1" si="13"/>
        <v>#N/A</v>
      </c>
      <c r="H91" s="94" t="e">
        <f t="shared" ca="1" si="47"/>
        <v>#N/A</v>
      </c>
      <c r="I91" s="161" t="e">
        <f t="shared" ca="1" si="15"/>
        <v>#N/A</v>
      </c>
      <c r="J91" s="156" t="e">
        <f t="shared" ca="1" si="33"/>
        <v>#N/A</v>
      </c>
      <c r="K91" s="160" t="e">
        <f t="shared" ca="1" si="16"/>
        <v>#N/A</v>
      </c>
      <c r="L91" s="101" t="e">
        <f t="shared" ca="1" si="48"/>
        <v>#N/A</v>
      </c>
      <c r="M91" s="101" t="e">
        <f t="shared" ca="1" si="49"/>
        <v>#N/A</v>
      </c>
      <c r="N91" s="101" t="e">
        <f t="shared" ca="1" si="18"/>
        <v>#N/A</v>
      </c>
      <c r="O91" s="285">
        <f t="shared" si="50"/>
        <v>0.9965234662521183</v>
      </c>
      <c r="P91" s="891">
        <f t="shared" si="34"/>
        <v>5.3477755081066114E-4</v>
      </c>
      <c r="Q91" s="99">
        <f t="shared" si="35"/>
        <v>0.9965234662521183</v>
      </c>
      <c r="R91" s="99" t="e">
        <f t="shared" ca="1" si="51"/>
        <v>#N/A</v>
      </c>
      <c r="S91" s="161" t="e">
        <f t="shared" ca="1" si="19"/>
        <v>#N/A</v>
      </c>
      <c r="T91" s="286" t="e">
        <f t="shared" ca="1" si="20"/>
        <v>#N/A</v>
      </c>
      <c r="U91" s="285">
        <f t="shared" si="52"/>
        <v>0.99995599169691085</v>
      </c>
      <c r="V91" s="891">
        <f t="shared" si="36"/>
        <v>1.2026144137755601E-5</v>
      </c>
      <c r="W91" s="99">
        <f t="shared" si="37"/>
        <v>0.99995599169691085</v>
      </c>
      <c r="X91" s="99" t="e">
        <f t="shared" ca="1" si="21"/>
        <v>#N/A</v>
      </c>
      <c r="Y91" s="161" t="e">
        <f t="shared" ca="1" si="22"/>
        <v>#N/A</v>
      </c>
      <c r="Z91" s="286" t="e">
        <f t="shared" ca="1" si="23"/>
        <v>#N/A</v>
      </c>
      <c r="AA91" s="285">
        <f t="shared" si="53"/>
        <v>0.9363940447200263</v>
      </c>
      <c r="AB91" s="891">
        <f t="shared" si="38"/>
        <v>4.631775078794087E-3</v>
      </c>
      <c r="AC91" s="99">
        <f t="shared" si="39"/>
        <v>0.9363940447200263</v>
      </c>
      <c r="AD91" s="99" t="e">
        <f t="shared" ca="1" si="24"/>
        <v>#N/A</v>
      </c>
      <c r="AE91" s="161" t="e">
        <f t="shared" ca="1" si="25"/>
        <v>#N/A</v>
      </c>
      <c r="AF91" s="286" t="e">
        <f t="shared" ca="1" si="26"/>
        <v>#N/A</v>
      </c>
      <c r="AG91" s="285">
        <f t="shared" si="54"/>
        <v>0.9822177864952536</v>
      </c>
      <c r="AH91" s="891">
        <f t="shared" si="46"/>
        <v>2.0410296777879644E-3</v>
      </c>
      <c r="AI91" s="99">
        <f t="shared" si="40"/>
        <v>0.9822177864952536</v>
      </c>
      <c r="AJ91" s="99" t="e">
        <f t="shared" ca="1" si="55"/>
        <v>#N/A</v>
      </c>
      <c r="AK91" s="161" t="e">
        <f t="shared" ca="1" si="27"/>
        <v>#N/A</v>
      </c>
      <c r="AL91" s="286" t="e">
        <f t="shared" ca="1" si="56"/>
        <v>#N/A</v>
      </c>
      <c r="AM91" s="285">
        <f t="shared" si="57"/>
        <v>0.98130242238001286</v>
      </c>
      <c r="AN91" s="891">
        <f t="shared" si="41"/>
        <v>2.2521127675138031E-3</v>
      </c>
      <c r="AO91" s="99">
        <f t="shared" si="42"/>
        <v>0.98130242238001286</v>
      </c>
      <c r="AP91" s="99" t="e">
        <f t="shared" ca="1" si="58"/>
        <v>#N/A</v>
      </c>
      <c r="AQ91" s="161" t="e">
        <f t="shared" ca="1" si="29"/>
        <v>#N/A</v>
      </c>
      <c r="AR91" s="286" t="e">
        <f t="shared" ca="1" si="59"/>
        <v>#N/A</v>
      </c>
      <c r="AS91" s="285">
        <f t="shared" si="60"/>
        <v>0.99334541993944858</v>
      </c>
      <c r="AT91" s="891">
        <f t="shared" si="43"/>
        <v>8.9879327646036344E-4</v>
      </c>
      <c r="AU91" s="99">
        <f t="shared" si="44"/>
        <v>0.99334541993944858</v>
      </c>
      <c r="AV91" s="99" t="e">
        <f t="shared" ca="1" si="30"/>
        <v>#N/A</v>
      </c>
      <c r="AW91" s="161" t="e">
        <f t="shared" ca="1" si="31"/>
        <v>#N/A</v>
      </c>
      <c r="AX91" s="286" t="e">
        <f t="shared" ca="1" si="61"/>
        <v>#N/A</v>
      </c>
    </row>
    <row r="92" spans="2:50" x14ac:dyDescent="0.25">
      <c r="B92" s="104">
        <f t="shared" si="32"/>
        <v>35</v>
      </c>
      <c r="C92" s="94">
        <v>36</v>
      </c>
      <c r="D92" s="94">
        <f t="shared" si="12"/>
        <v>0.99698090148670959</v>
      </c>
      <c r="E92" s="94">
        <f t="shared" si="45"/>
        <v>4.5743523459129687E-4</v>
      </c>
      <c r="F92" s="94" t="e">
        <f ca="1">IF(AND(H92=0,SUM(H92:H$116)&gt;0),0.0001,H92)</f>
        <v>#N/A</v>
      </c>
      <c r="G92" s="94" t="e">
        <f t="shared" ca="1" si="13"/>
        <v>#N/A</v>
      </c>
      <c r="H92" s="94" t="e">
        <f t="shared" ca="1" si="47"/>
        <v>#N/A</v>
      </c>
      <c r="I92" s="161" t="e">
        <f t="shared" ca="1" si="15"/>
        <v>#N/A</v>
      </c>
      <c r="J92" s="156" t="e">
        <f t="shared" ca="1" si="33"/>
        <v>#N/A</v>
      </c>
      <c r="K92" s="160" t="e">
        <f t="shared" ca="1" si="16"/>
        <v>#N/A</v>
      </c>
      <c r="L92" s="101" t="e">
        <f t="shared" ca="1" si="48"/>
        <v>#N/A</v>
      </c>
      <c r="M92" s="101" t="e">
        <f t="shared" ca="1" si="49"/>
        <v>#N/A</v>
      </c>
      <c r="N92" s="101" t="e">
        <f t="shared" ca="1" si="18"/>
        <v>#N/A</v>
      </c>
      <c r="O92" s="285">
        <f t="shared" si="50"/>
        <v>0.99698090148670959</v>
      </c>
      <c r="P92" s="891">
        <f t="shared" si="34"/>
        <v>4.5743523459129687E-4</v>
      </c>
      <c r="Q92" s="99">
        <f t="shared" si="35"/>
        <v>0.99698090148670959</v>
      </c>
      <c r="R92" s="99" t="e">
        <f t="shared" ca="1" si="51"/>
        <v>#N/A</v>
      </c>
      <c r="S92" s="161" t="e">
        <f t="shared" ca="1" si="19"/>
        <v>#N/A</v>
      </c>
      <c r="T92" s="286" t="e">
        <f t="shared" ca="1" si="20"/>
        <v>#N/A</v>
      </c>
      <c r="U92" s="285">
        <f t="shared" si="52"/>
        <v>0.99996530954058649</v>
      </c>
      <c r="V92" s="891">
        <f t="shared" si="36"/>
        <v>9.3178436756380378E-6</v>
      </c>
      <c r="W92" s="99">
        <f t="shared" si="37"/>
        <v>0.99996530954058649</v>
      </c>
      <c r="X92" s="99" t="e">
        <f t="shared" ca="1" si="21"/>
        <v>#N/A</v>
      </c>
      <c r="Y92" s="161" t="e">
        <f t="shared" ca="1" si="22"/>
        <v>#N/A</v>
      </c>
      <c r="Z92" s="286" t="e">
        <f t="shared" ca="1" si="23"/>
        <v>#N/A</v>
      </c>
      <c r="AA92" s="285">
        <f t="shared" si="53"/>
        <v>0.94065726088325108</v>
      </c>
      <c r="AB92" s="891">
        <f t="shared" si="38"/>
        <v>4.2632161632247811E-3</v>
      </c>
      <c r="AC92" s="99">
        <f t="shared" si="39"/>
        <v>0.94065726088325108</v>
      </c>
      <c r="AD92" s="99" t="e">
        <f t="shared" ca="1" si="24"/>
        <v>#N/A</v>
      </c>
      <c r="AE92" s="161" t="e">
        <f t="shared" ca="1" si="25"/>
        <v>#N/A</v>
      </c>
      <c r="AF92" s="286" t="e">
        <f t="shared" ca="1" si="26"/>
        <v>#N/A</v>
      </c>
      <c r="AG92" s="285">
        <f t="shared" si="54"/>
        <v>0.98402675777305049</v>
      </c>
      <c r="AH92" s="891">
        <f t="shared" si="46"/>
        <v>1.8089712777968892E-3</v>
      </c>
      <c r="AI92" s="99">
        <f t="shared" si="40"/>
        <v>0.98402675777305049</v>
      </c>
      <c r="AJ92" s="99" t="e">
        <f t="shared" ca="1" si="55"/>
        <v>#N/A</v>
      </c>
      <c r="AK92" s="161" t="e">
        <f t="shared" ca="1" si="27"/>
        <v>#N/A</v>
      </c>
      <c r="AL92" s="286" t="e">
        <f t="shared" ca="1" si="56"/>
        <v>#N/A</v>
      </c>
      <c r="AM92" s="285">
        <f t="shared" si="57"/>
        <v>0.98329026957665633</v>
      </c>
      <c r="AN92" s="891">
        <f t="shared" si="41"/>
        <v>1.9878471966434663E-3</v>
      </c>
      <c r="AO92" s="99">
        <f t="shared" si="42"/>
        <v>0.98329026957665633</v>
      </c>
      <c r="AP92" s="99" t="e">
        <f t="shared" ca="1" si="58"/>
        <v>#N/A</v>
      </c>
      <c r="AQ92" s="161" t="e">
        <f t="shared" ca="1" si="29"/>
        <v>#N/A</v>
      </c>
      <c r="AR92" s="286" t="e">
        <f t="shared" ca="1" si="59"/>
        <v>#N/A</v>
      </c>
      <c r="AS92" s="285">
        <f t="shared" si="60"/>
        <v>0.99412694765992482</v>
      </c>
      <c r="AT92" s="891">
        <f t="shared" si="43"/>
        <v>7.8152772047623831E-4</v>
      </c>
      <c r="AU92" s="99">
        <f t="shared" si="44"/>
        <v>0.99412694765992482</v>
      </c>
      <c r="AV92" s="99" t="e">
        <f t="shared" ca="1" si="30"/>
        <v>#N/A</v>
      </c>
      <c r="AW92" s="161" t="e">
        <f t="shared" ca="1" si="31"/>
        <v>#N/A</v>
      </c>
      <c r="AX92" s="286" t="e">
        <f t="shared" ca="1" si="61"/>
        <v>#N/A</v>
      </c>
    </row>
    <row r="93" spans="2:50" x14ac:dyDescent="0.25">
      <c r="B93" s="104">
        <f t="shared" si="32"/>
        <v>36</v>
      </c>
      <c r="C93" s="94">
        <v>37</v>
      </c>
      <c r="D93" s="94">
        <f t="shared" si="12"/>
        <v>0.99737304063370036</v>
      </c>
      <c r="E93" s="94">
        <f t="shared" si="45"/>
        <v>3.9213914699076646E-4</v>
      </c>
      <c r="F93" s="94" t="e">
        <f ca="1">IF(AND(H93=0,SUM(H93:H$116)&gt;0),0.0001,H93)</f>
        <v>#N/A</v>
      </c>
      <c r="G93" s="94" t="e">
        <f t="shared" ca="1" si="13"/>
        <v>#N/A</v>
      </c>
      <c r="H93" s="94" t="e">
        <f t="shared" ca="1" si="47"/>
        <v>#N/A</v>
      </c>
      <c r="I93" s="161" t="e">
        <f t="shared" ca="1" si="15"/>
        <v>#N/A</v>
      </c>
      <c r="J93" s="156" t="e">
        <f t="shared" ca="1" si="33"/>
        <v>#N/A</v>
      </c>
      <c r="K93" s="160" t="e">
        <f t="shared" ca="1" si="16"/>
        <v>#N/A</v>
      </c>
      <c r="L93" s="101" t="e">
        <f t="shared" ca="1" si="48"/>
        <v>#N/A</v>
      </c>
      <c r="M93" s="101" t="e">
        <f t="shared" ca="1" si="49"/>
        <v>#N/A</v>
      </c>
      <c r="N93" s="101" t="e">
        <f t="shared" ca="1" si="18"/>
        <v>#N/A</v>
      </c>
      <c r="O93" s="285">
        <f t="shared" si="50"/>
        <v>0.99737304063370036</v>
      </c>
      <c r="P93" s="891">
        <f t="shared" si="34"/>
        <v>3.9213914699076646E-4</v>
      </c>
      <c r="Q93" s="99">
        <f t="shared" si="35"/>
        <v>0.99737304063370036</v>
      </c>
      <c r="R93" s="99" t="e">
        <f t="shared" ca="1" si="51"/>
        <v>#N/A</v>
      </c>
      <c r="S93" s="161" t="e">
        <f t="shared" ca="1" si="19"/>
        <v>#N/A</v>
      </c>
      <c r="T93" s="286" t="e">
        <f t="shared" ca="1" si="20"/>
        <v>#N/A</v>
      </c>
      <c r="U93" s="285">
        <f t="shared" si="52"/>
        <v>0.99997255714706246</v>
      </c>
      <c r="V93" s="891">
        <f t="shared" si="36"/>
        <v>7.2476064759685599E-6</v>
      </c>
      <c r="W93" s="99">
        <f t="shared" si="37"/>
        <v>0.99997255714706246</v>
      </c>
      <c r="X93" s="99" t="e">
        <f t="shared" ca="1" si="21"/>
        <v>#N/A</v>
      </c>
      <c r="Y93" s="161" t="e">
        <f t="shared" ca="1" si="22"/>
        <v>#N/A</v>
      </c>
      <c r="Z93" s="286" t="e">
        <f t="shared" ca="1" si="23"/>
        <v>#N/A</v>
      </c>
      <c r="AA93" s="285">
        <f t="shared" si="53"/>
        <v>0.94458551141150682</v>
      </c>
      <c r="AB93" s="891">
        <f t="shared" si="38"/>
        <v>3.9282505282557389E-3</v>
      </c>
      <c r="AC93" s="99">
        <f t="shared" si="39"/>
        <v>0.94458551141150682</v>
      </c>
      <c r="AD93" s="99" t="e">
        <f t="shared" ca="1" si="24"/>
        <v>#N/A</v>
      </c>
      <c r="AE93" s="161" t="e">
        <f t="shared" ca="1" si="25"/>
        <v>#N/A</v>
      </c>
      <c r="AF93" s="286" t="e">
        <f t="shared" ca="1" si="26"/>
        <v>#N/A</v>
      </c>
      <c r="AG93" s="285">
        <f t="shared" si="54"/>
        <v>0.98563248076107191</v>
      </c>
      <c r="AH93" s="891">
        <f t="shared" si="46"/>
        <v>1.6057229880214186E-3</v>
      </c>
      <c r="AI93" s="99">
        <f t="shared" si="40"/>
        <v>0.98563248076107191</v>
      </c>
      <c r="AJ93" s="99" t="e">
        <f t="shared" ca="1" si="55"/>
        <v>#N/A</v>
      </c>
      <c r="AK93" s="161" t="e">
        <f t="shared" ca="1" si="27"/>
        <v>#N/A</v>
      </c>
      <c r="AL93" s="286" t="e">
        <f t="shared" ca="1" si="56"/>
        <v>#N/A</v>
      </c>
      <c r="AM93" s="285">
        <f t="shared" si="57"/>
        <v>0.98504735026030532</v>
      </c>
      <c r="AN93" s="891">
        <f t="shared" si="41"/>
        <v>1.7570806836489927E-3</v>
      </c>
      <c r="AO93" s="99">
        <f t="shared" si="42"/>
        <v>0.98504735026030532</v>
      </c>
      <c r="AP93" s="99" t="e">
        <f t="shared" ca="1" si="58"/>
        <v>#N/A</v>
      </c>
      <c r="AQ93" s="161" t="e">
        <f t="shared" ca="1" si="29"/>
        <v>#N/A</v>
      </c>
      <c r="AR93" s="286" t="e">
        <f t="shared" ca="1" si="59"/>
        <v>#N/A</v>
      </c>
      <c r="AS93" s="285">
        <f t="shared" si="60"/>
        <v>0.99480783531258044</v>
      </c>
      <c r="AT93" s="891">
        <f t="shared" si="43"/>
        <v>6.8088765265561513E-4</v>
      </c>
      <c r="AU93" s="99">
        <f t="shared" si="44"/>
        <v>0.99480783531258044</v>
      </c>
      <c r="AV93" s="99" t="e">
        <f t="shared" ca="1" si="30"/>
        <v>#N/A</v>
      </c>
      <c r="AW93" s="161" t="e">
        <f t="shared" ca="1" si="31"/>
        <v>#N/A</v>
      </c>
      <c r="AX93" s="286" t="e">
        <f t="shared" ca="1" si="61"/>
        <v>#N/A</v>
      </c>
    </row>
    <row r="94" spans="2:50" x14ac:dyDescent="0.25">
      <c r="B94" s="104">
        <f t="shared" si="32"/>
        <v>37</v>
      </c>
      <c r="C94" s="94">
        <v>38</v>
      </c>
      <c r="D94" s="94">
        <f t="shared" si="12"/>
        <v>0.99770992291545912</v>
      </c>
      <c r="E94" s="94">
        <f t="shared" si="45"/>
        <v>3.3688228175876578E-4</v>
      </c>
      <c r="F94" s="94" t="e">
        <f ca="1">IF(AND(H94=0,SUM(H94:H$116)&gt;0),0.0001,H94)</f>
        <v>#N/A</v>
      </c>
      <c r="G94" s="94" t="e">
        <f t="shared" ca="1" si="13"/>
        <v>#N/A</v>
      </c>
      <c r="H94" s="94" t="e">
        <f t="shared" ca="1" si="47"/>
        <v>#N/A</v>
      </c>
      <c r="I94" s="161" t="e">
        <f t="shared" ca="1" si="15"/>
        <v>#N/A</v>
      </c>
      <c r="J94" s="156" t="e">
        <f t="shared" ca="1" si="33"/>
        <v>#N/A</v>
      </c>
      <c r="K94" s="160" t="e">
        <f t="shared" ca="1" si="16"/>
        <v>#N/A</v>
      </c>
      <c r="L94" s="101" t="e">
        <f t="shared" ca="1" si="48"/>
        <v>#N/A</v>
      </c>
      <c r="M94" s="101" t="e">
        <f t="shared" ca="1" si="49"/>
        <v>#N/A</v>
      </c>
      <c r="N94" s="101" t="e">
        <f t="shared" ca="1" si="18"/>
        <v>#N/A</v>
      </c>
      <c r="O94" s="285">
        <f t="shared" si="50"/>
        <v>0.99770992291545912</v>
      </c>
      <c r="P94" s="891">
        <f t="shared" si="34"/>
        <v>3.3688228175876578E-4</v>
      </c>
      <c r="Q94" s="99">
        <f t="shared" si="35"/>
        <v>0.99770992291545912</v>
      </c>
      <c r="R94" s="99" t="e">
        <f t="shared" ca="1" si="51"/>
        <v>#N/A</v>
      </c>
      <c r="S94" s="161" t="e">
        <f t="shared" ca="1" si="19"/>
        <v>#N/A</v>
      </c>
      <c r="T94" s="286" t="e">
        <f t="shared" ca="1" si="20"/>
        <v>#N/A</v>
      </c>
      <c r="U94" s="285">
        <f t="shared" si="52"/>
        <v>0.99997821575512413</v>
      </c>
      <c r="V94" s="891">
        <f t="shared" si="36"/>
        <v>5.6586080616760626E-6</v>
      </c>
      <c r="W94" s="99">
        <f t="shared" si="37"/>
        <v>0.99997821575512413</v>
      </c>
      <c r="X94" s="99" t="e">
        <f t="shared" ca="1" si="21"/>
        <v>#N/A</v>
      </c>
      <c r="Y94" s="161" t="e">
        <f t="shared" ca="1" si="22"/>
        <v>#N/A</v>
      </c>
      <c r="Z94" s="286" t="e">
        <f t="shared" ca="1" si="23"/>
        <v>#N/A</v>
      </c>
      <c r="AA94" s="285">
        <f t="shared" si="53"/>
        <v>0.948208955103229</v>
      </c>
      <c r="AB94" s="891">
        <f t="shared" si="38"/>
        <v>3.6234436917221835E-3</v>
      </c>
      <c r="AC94" s="99">
        <f t="shared" si="39"/>
        <v>0.948208955103229</v>
      </c>
      <c r="AD94" s="99" t="e">
        <f t="shared" ca="1" si="24"/>
        <v>#N/A</v>
      </c>
      <c r="AE94" s="161" t="e">
        <f t="shared" ca="1" si="25"/>
        <v>#N/A</v>
      </c>
      <c r="AF94" s="286" t="e">
        <f t="shared" ca="1" si="26"/>
        <v>#N/A</v>
      </c>
      <c r="AG94" s="285">
        <f t="shared" si="54"/>
        <v>0.98705990154910883</v>
      </c>
      <c r="AH94" s="891">
        <f t="shared" si="46"/>
        <v>1.4274207880369261E-3</v>
      </c>
      <c r="AI94" s="99">
        <f t="shared" si="40"/>
        <v>0.98705990154910883</v>
      </c>
      <c r="AJ94" s="99" t="e">
        <f t="shared" ca="1" si="55"/>
        <v>#N/A</v>
      </c>
      <c r="AK94" s="161" t="e">
        <f t="shared" ca="1" si="27"/>
        <v>#N/A</v>
      </c>
      <c r="AL94" s="286" t="e">
        <f t="shared" ca="1" si="56"/>
        <v>#N/A</v>
      </c>
      <c r="AM94" s="285">
        <f t="shared" si="57"/>
        <v>0.98660262353839634</v>
      </c>
      <c r="AN94" s="891">
        <f t="shared" si="41"/>
        <v>1.5552732780910183E-3</v>
      </c>
      <c r="AO94" s="99">
        <f t="shared" si="42"/>
        <v>0.98660262353839634</v>
      </c>
      <c r="AP94" s="99" t="e">
        <f t="shared" ca="1" si="58"/>
        <v>#N/A</v>
      </c>
      <c r="AQ94" s="161" t="e">
        <f t="shared" ca="1" si="29"/>
        <v>#N/A</v>
      </c>
      <c r="AR94" s="286" t="e">
        <f t="shared" ca="1" si="59"/>
        <v>#N/A</v>
      </c>
      <c r="AS94" s="285">
        <f t="shared" si="60"/>
        <v>0.99540216808936055</v>
      </c>
      <c r="AT94" s="891">
        <f t="shared" si="43"/>
        <v>5.9433277678011542E-4</v>
      </c>
      <c r="AU94" s="99">
        <f t="shared" si="44"/>
        <v>0.99540216808936055</v>
      </c>
      <c r="AV94" s="99" t="e">
        <f t="shared" ca="1" si="30"/>
        <v>#N/A</v>
      </c>
      <c r="AW94" s="161" t="e">
        <f t="shared" ca="1" si="31"/>
        <v>#N/A</v>
      </c>
      <c r="AX94" s="286" t="e">
        <f t="shared" ca="1" si="61"/>
        <v>#N/A</v>
      </c>
    </row>
    <row r="95" spans="2:50" x14ac:dyDescent="0.25">
      <c r="B95" s="104">
        <f t="shared" si="32"/>
        <v>38</v>
      </c>
      <c r="C95" s="94">
        <v>39</v>
      </c>
      <c r="D95" s="94">
        <f t="shared" si="12"/>
        <v>0.99799993599800318</v>
      </c>
      <c r="E95" s="94">
        <f t="shared" si="45"/>
        <v>2.9001308254406055E-4</v>
      </c>
      <c r="F95" s="94" t="e">
        <f ca="1">IF(AND(H95=0,SUM(H95:H$116)&gt;0),0.0001,H95)</f>
        <v>#N/A</v>
      </c>
      <c r="G95" s="94" t="e">
        <f t="shared" ca="1" si="13"/>
        <v>#N/A</v>
      </c>
      <c r="H95" s="94" t="e">
        <f t="shared" ca="1" si="47"/>
        <v>#N/A</v>
      </c>
      <c r="I95" s="161" t="e">
        <f t="shared" ca="1" si="15"/>
        <v>#N/A</v>
      </c>
      <c r="J95" s="156" t="e">
        <f t="shared" ca="1" si="33"/>
        <v>#N/A</v>
      </c>
      <c r="K95" s="160" t="e">
        <f t="shared" ca="1" si="16"/>
        <v>#N/A</v>
      </c>
      <c r="L95" s="101" t="e">
        <f t="shared" ca="1" si="48"/>
        <v>#N/A</v>
      </c>
      <c r="M95" s="101" t="e">
        <f t="shared" ca="1" si="49"/>
        <v>#N/A</v>
      </c>
      <c r="N95" s="101" t="e">
        <f t="shared" ca="1" si="18"/>
        <v>#N/A</v>
      </c>
      <c r="O95" s="285">
        <f t="shared" si="50"/>
        <v>0.99799993599800318</v>
      </c>
      <c r="P95" s="891">
        <f t="shared" si="34"/>
        <v>2.9001308254406055E-4</v>
      </c>
      <c r="Q95" s="99">
        <f t="shared" si="35"/>
        <v>0.99799993599800318</v>
      </c>
      <c r="R95" s="99" t="e">
        <f t="shared" ca="1" si="51"/>
        <v>#N/A</v>
      </c>
      <c r="S95" s="161" t="e">
        <f t="shared" ca="1" si="19"/>
        <v>#N/A</v>
      </c>
      <c r="T95" s="286" t="e">
        <f t="shared" ca="1" si="20"/>
        <v>#N/A</v>
      </c>
      <c r="U95" s="285">
        <f t="shared" si="52"/>
        <v>0.99998264988561769</v>
      </c>
      <c r="V95" s="891">
        <f t="shared" si="36"/>
        <v>4.4341304935580084E-6</v>
      </c>
      <c r="W95" s="99">
        <f t="shared" si="37"/>
        <v>0.99998264988561769</v>
      </c>
      <c r="X95" s="99" t="e">
        <f t="shared" ca="1" si="21"/>
        <v>#N/A</v>
      </c>
      <c r="Y95" s="161" t="e">
        <f t="shared" ca="1" si="22"/>
        <v>#N/A</v>
      </c>
      <c r="Z95" s="286" t="e">
        <f t="shared" ca="1" si="23"/>
        <v>#N/A</v>
      </c>
      <c r="AA95" s="285">
        <f t="shared" si="53"/>
        <v>0.95155470230574823</v>
      </c>
      <c r="AB95" s="891">
        <f t="shared" si="38"/>
        <v>3.3457472025192336E-3</v>
      </c>
      <c r="AC95" s="99">
        <f t="shared" si="39"/>
        <v>0.95155470230574823</v>
      </c>
      <c r="AD95" s="99" t="e">
        <f t="shared" ca="1" si="24"/>
        <v>#N/A</v>
      </c>
      <c r="AE95" s="161" t="e">
        <f t="shared" ca="1" si="25"/>
        <v>#N/A</v>
      </c>
      <c r="AF95" s="286" t="e">
        <f t="shared" ca="1" si="26"/>
        <v>#N/A</v>
      </c>
      <c r="AG95" s="285">
        <f t="shared" si="54"/>
        <v>0.98833065615929361</v>
      </c>
      <c r="AH95" s="891">
        <f t="shared" si="46"/>
        <v>1.2707546101847766E-3</v>
      </c>
      <c r="AI95" s="99">
        <f t="shared" si="40"/>
        <v>0.98833065615929361</v>
      </c>
      <c r="AJ95" s="99" t="e">
        <f t="shared" ca="1" si="55"/>
        <v>#N/A</v>
      </c>
      <c r="AK95" s="161" t="e">
        <f t="shared" ca="1" si="27"/>
        <v>#N/A</v>
      </c>
      <c r="AL95" s="286" t="e">
        <f t="shared" ca="1" si="56"/>
        <v>#N/A</v>
      </c>
      <c r="AM95" s="285">
        <f t="shared" si="57"/>
        <v>0.9879811591529577</v>
      </c>
      <c r="AN95" s="891">
        <f t="shared" si="41"/>
        <v>1.3785356145613603E-3</v>
      </c>
      <c r="AO95" s="99">
        <f t="shared" si="42"/>
        <v>0.9879811591529577</v>
      </c>
      <c r="AP95" s="99" t="e">
        <f t="shared" ca="1" si="58"/>
        <v>#N/A</v>
      </c>
      <c r="AQ95" s="161" t="e">
        <f t="shared" ca="1" si="29"/>
        <v>#N/A</v>
      </c>
      <c r="AR95" s="286" t="e">
        <f t="shared" ca="1" si="59"/>
        <v>#N/A</v>
      </c>
      <c r="AS95" s="285">
        <f t="shared" si="60"/>
        <v>0.99592190598714514</v>
      </c>
      <c r="AT95" s="891">
        <f t="shared" si="43"/>
        <v>5.1973789778458901E-4</v>
      </c>
      <c r="AU95" s="99">
        <f t="shared" si="44"/>
        <v>0.99592190598714514</v>
      </c>
      <c r="AV95" s="99" t="e">
        <f t="shared" ca="1" si="30"/>
        <v>#N/A</v>
      </c>
      <c r="AW95" s="161" t="e">
        <f t="shared" ca="1" si="31"/>
        <v>#N/A</v>
      </c>
      <c r="AX95" s="286" t="e">
        <f t="shared" ca="1" si="61"/>
        <v>#N/A</v>
      </c>
    </row>
    <row r="96" spans="2:50" x14ac:dyDescent="0.25">
      <c r="B96" s="104">
        <f t="shared" si="32"/>
        <v>39</v>
      </c>
      <c r="C96" s="94">
        <v>40</v>
      </c>
      <c r="D96" s="94">
        <f t="shared" si="12"/>
        <v>0.99825010492099975</v>
      </c>
      <c r="E96" s="94">
        <f t="shared" si="45"/>
        <v>2.5016892299656313E-4</v>
      </c>
      <c r="F96" s="94" t="e">
        <f ca="1">IF(AND(H96=0,SUM(H96:H$116)&gt;0),0.0001,H96)</f>
        <v>#N/A</v>
      </c>
      <c r="G96" s="94" t="e">
        <f t="shared" ca="1" si="13"/>
        <v>#N/A</v>
      </c>
      <c r="H96" s="94" t="e">
        <f t="shared" ca="1" si="47"/>
        <v>#N/A</v>
      </c>
      <c r="I96" s="161" t="e">
        <f t="shared" ca="1" si="15"/>
        <v>#N/A</v>
      </c>
      <c r="J96" s="156" t="e">
        <f t="shared" ca="1" si="33"/>
        <v>#N/A</v>
      </c>
      <c r="K96" s="160" t="e">
        <f t="shared" ca="1" si="16"/>
        <v>#N/A</v>
      </c>
      <c r="L96" s="101" t="e">
        <f t="shared" ca="1" si="48"/>
        <v>#N/A</v>
      </c>
      <c r="M96" s="101" t="e">
        <f t="shared" ca="1" si="49"/>
        <v>#N/A</v>
      </c>
      <c r="N96" s="101" t="e">
        <f t="shared" ca="1" si="18"/>
        <v>#N/A</v>
      </c>
      <c r="O96" s="285">
        <f t="shared" si="50"/>
        <v>0.99825010492099975</v>
      </c>
      <c r="P96" s="891">
        <f t="shared" si="34"/>
        <v>2.5016892299656313E-4</v>
      </c>
      <c r="Q96" s="99">
        <f t="shared" si="35"/>
        <v>0.99825010492099975</v>
      </c>
      <c r="R96" s="99" t="e">
        <f t="shared" ca="1" si="51"/>
        <v>#N/A</v>
      </c>
      <c r="S96" s="161" t="e">
        <f t="shared" ca="1" si="19"/>
        <v>#N/A</v>
      </c>
      <c r="T96" s="286" t="e">
        <f t="shared" ca="1" si="20"/>
        <v>#N/A</v>
      </c>
      <c r="U96" s="285">
        <f t="shared" si="52"/>
        <v>0.99998613680143278</v>
      </c>
      <c r="V96" s="891">
        <f t="shared" si="36"/>
        <v>3.4869158150874213E-6</v>
      </c>
      <c r="W96" s="99">
        <f t="shared" si="37"/>
        <v>0.99998613680143278</v>
      </c>
      <c r="X96" s="99" t="e">
        <f t="shared" ca="1" si="21"/>
        <v>#N/A</v>
      </c>
      <c r="Y96" s="161" t="e">
        <f t="shared" ca="1" si="22"/>
        <v>#N/A</v>
      </c>
      <c r="Z96" s="286" t="e">
        <f t="shared" ca="1" si="23"/>
        <v>#N/A</v>
      </c>
      <c r="AA96" s="285">
        <f t="shared" si="53"/>
        <v>0.95464715423049007</v>
      </c>
      <c r="AB96" s="891">
        <f t="shared" si="38"/>
        <v>3.0924519247418347E-3</v>
      </c>
      <c r="AC96" s="99">
        <f t="shared" si="39"/>
        <v>0.95464715423049007</v>
      </c>
      <c r="AD96" s="99" t="e">
        <f t="shared" ca="1" si="24"/>
        <v>#N/A</v>
      </c>
      <c r="AE96" s="161" t="e">
        <f t="shared" ca="1" si="25"/>
        <v>#N/A</v>
      </c>
      <c r="AF96" s="286" t="e">
        <f t="shared" ca="1" si="26"/>
        <v>#N/A</v>
      </c>
      <c r="AG96" s="285">
        <f t="shared" si="54"/>
        <v>0.98946354054971319</v>
      </c>
      <c r="AH96" s="891">
        <f t="shared" si="46"/>
        <v>1.1328843904195862E-3</v>
      </c>
      <c r="AI96" s="99">
        <f t="shared" si="40"/>
        <v>0.98946354054971319</v>
      </c>
      <c r="AJ96" s="99" t="e">
        <f t="shared" ca="1" si="55"/>
        <v>#N/A</v>
      </c>
      <c r="AK96" s="161" t="e">
        <f t="shared" ca="1" si="27"/>
        <v>#N/A</v>
      </c>
      <c r="AL96" s="286" t="e">
        <f t="shared" ca="1" si="56"/>
        <v>#N/A</v>
      </c>
      <c r="AM96" s="285">
        <f t="shared" si="57"/>
        <v>0.98920469073060135</v>
      </c>
      <c r="AN96" s="891">
        <f t="shared" si="41"/>
        <v>1.2235315776436551E-3</v>
      </c>
      <c r="AO96" s="99">
        <f t="shared" si="42"/>
        <v>0.98920469073060135</v>
      </c>
      <c r="AP96" s="99" t="e">
        <f t="shared" ca="1" si="58"/>
        <v>#N/A</v>
      </c>
      <c r="AQ96" s="161" t="e">
        <f t="shared" ca="1" si="29"/>
        <v>#N/A</v>
      </c>
      <c r="AR96" s="286" t="e">
        <f t="shared" ca="1" si="59"/>
        <v>#N/A</v>
      </c>
      <c r="AS96" s="285">
        <f t="shared" si="60"/>
        <v>0.99637722689817709</v>
      </c>
      <c r="AT96" s="891">
        <f t="shared" si="43"/>
        <v>4.5532091103195338E-4</v>
      </c>
      <c r="AU96" s="99">
        <f t="shared" si="44"/>
        <v>0.99637722689817709</v>
      </c>
      <c r="AV96" s="99" t="e">
        <f t="shared" ca="1" si="30"/>
        <v>#N/A</v>
      </c>
      <c r="AW96" s="161" t="e">
        <f t="shared" ca="1" si="31"/>
        <v>#N/A</v>
      </c>
      <c r="AX96" s="286" t="e">
        <f t="shared" ca="1" si="61"/>
        <v>#N/A</v>
      </c>
    </row>
    <row r="97" spans="2:53" x14ac:dyDescent="0.25">
      <c r="B97" s="104">
        <f t="shared" si="32"/>
        <v>40</v>
      </c>
      <c r="C97" s="94">
        <v>41</v>
      </c>
      <c r="D97" s="94">
        <f t="shared" si="12"/>
        <v>0.99846632758651488</v>
      </c>
      <c r="E97" s="94">
        <f t="shared" si="45"/>
        <v>2.1622266551513114E-4</v>
      </c>
      <c r="F97" s="94" t="e">
        <f ca="1">IF(AND(H97=0,SUM(H97:H$116)&gt;0),0.0001,H97)</f>
        <v>#N/A</v>
      </c>
      <c r="G97" s="94" t="e">
        <f t="shared" ca="1" si="13"/>
        <v>#N/A</v>
      </c>
      <c r="H97" s="94" t="e">
        <f t="shared" ca="1" si="47"/>
        <v>#N/A</v>
      </c>
      <c r="I97" s="161" t="e">
        <f t="shared" ca="1" si="15"/>
        <v>#N/A</v>
      </c>
      <c r="J97" s="156" t="e">
        <f t="shared" ca="1" si="33"/>
        <v>#N/A</v>
      </c>
      <c r="K97" s="160" t="e">
        <f t="shared" ca="1" si="16"/>
        <v>#N/A</v>
      </c>
      <c r="L97" s="101" t="e">
        <f t="shared" ca="1" si="48"/>
        <v>#N/A</v>
      </c>
      <c r="M97" s="101" t="e">
        <f t="shared" ca="1" si="49"/>
        <v>#N/A</v>
      </c>
      <c r="N97" s="101" t="e">
        <f t="shared" ca="1" si="18"/>
        <v>#N/A</v>
      </c>
      <c r="O97" s="285">
        <f t="shared" si="50"/>
        <v>0.99846632758651488</v>
      </c>
      <c r="P97" s="891">
        <f t="shared" si="34"/>
        <v>2.1622266551513114E-4</v>
      </c>
      <c r="Q97" s="99">
        <f t="shared" si="35"/>
        <v>0.99846632758651488</v>
      </c>
      <c r="R97" s="99" t="e">
        <f t="shared" ca="1" si="51"/>
        <v>#N/A</v>
      </c>
      <c r="S97" s="161" t="e">
        <f t="shared" ca="1" si="19"/>
        <v>#N/A</v>
      </c>
      <c r="T97" s="286" t="e">
        <f t="shared" ca="1" si="20"/>
        <v>#N/A</v>
      </c>
      <c r="U97" s="285">
        <f t="shared" si="52"/>
        <v>0.99998888824779675</v>
      </c>
      <c r="V97" s="891">
        <f t="shared" si="36"/>
        <v>2.7514463639688458E-6</v>
      </c>
      <c r="W97" s="99">
        <f t="shared" si="37"/>
        <v>0.99998888824779675</v>
      </c>
      <c r="X97" s="99" t="e">
        <f t="shared" ca="1" si="21"/>
        <v>#N/A</v>
      </c>
      <c r="Y97" s="161" t="e">
        <f t="shared" ca="1" si="22"/>
        <v>#N/A</v>
      </c>
      <c r="Z97" s="286" t="e">
        <f t="shared" ca="1" si="23"/>
        <v>#N/A</v>
      </c>
      <c r="AA97" s="285">
        <f t="shared" si="53"/>
        <v>0.95750830148886723</v>
      </c>
      <c r="AB97" s="891">
        <f t="shared" si="38"/>
        <v>2.8611472583771613E-3</v>
      </c>
      <c r="AC97" s="99">
        <f t="shared" si="39"/>
        <v>0.95750830148886723</v>
      </c>
      <c r="AD97" s="99" t="e">
        <f t="shared" ca="1" si="24"/>
        <v>#N/A</v>
      </c>
      <c r="AE97" s="161" t="e">
        <f t="shared" ca="1" si="25"/>
        <v>#N/A</v>
      </c>
      <c r="AF97" s="286" t="e">
        <f t="shared" ca="1" si="26"/>
        <v>#N/A</v>
      </c>
      <c r="AG97" s="285">
        <f t="shared" si="54"/>
        <v>0.9904749099480421</v>
      </c>
      <c r="AH97" s="891">
        <f t="shared" si="46"/>
        <v>1.0113693983289096E-3</v>
      </c>
      <c r="AI97" s="99">
        <f t="shared" si="40"/>
        <v>0.9904749099480421</v>
      </c>
      <c r="AJ97" s="99" t="e">
        <f t="shared" ca="1" si="55"/>
        <v>#N/A</v>
      </c>
      <c r="AK97" s="161" t="e">
        <f t="shared" ca="1" si="27"/>
        <v>#N/A</v>
      </c>
      <c r="AL97" s="286" t="e">
        <f t="shared" ca="1" si="56"/>
        <v>#N/A</v>
      </c>
      <c r="AM97" s="285">
        <f t="shared" si="57"/>
        <v>0.99029208665275492</v>
      </c>
      <c r="AN97" s="891">
        <f t="shared" si="41"/>
        <v>1.0873959221535667E-3</v>
      </c>
      <c r="AO97" s="99">
        <f t="shared" si="42"/>
        <v>0.99029208665275492</v>
      </c>
      <c r="AP97" s="99" t="e">
        <f t="shared" ca="1" si="58"/>
        <v>#N/A</v>
      </c>
      <c r="AQ97" s="161" t="e">
        <f t="shared" ca="1" si="29"/>
        <v>#N/A</v>
      </c>
      <c r="AR97" s="286" t="e">
        <f t="shared" ca="1" si="59"/>
        <v>#N/A</v>
      </c>
      <c r="AS97" s="285">
        <f t="shared" si="60"/>
        <v>0.99677681085685998</v>
      </c>
      <c r="AT97" s="891">
        <f t="shared" si="43"/>
        <v>3.9958395868289198E-4</v>
      </c>
      <c r="AU97" s="99">
        <f t="shared" si="44"/>
        <v>0.99677681085685998</v>
      </c>
      <c r="AV97" s="99" t="e">
        <f t="shared" ca="1" si="30"/>
        <v>#N/A</v>
      </c>
      <c r="AW97" s="161" t="e">
        <f t="shared" ca="1" si="31"/>
        <v>#N/A</v>
      </c>
      <c r="AX97" s="286" t="e">
        <f t="shared" ca="1" si="61"/>
        <v>#N/A</v>
      </c>
    </row>
    <row r="98" spans="2:53" x14ac:dyDescent="0.25">
      <c r="B98" s="104">
        <f t="shared" si="32"/>
        <v>41</v>
      </c>
      <c r="C98" s="94">
        <v>42</v>
      </c>
      <c r="D98" s="94">
        <f t="shared" si="12"/>
        <v>0.99865356719910514</v>
      </c>
      <c r="E98" s="94">
        <f t="shared" si="45"/>
        <v>1.8723961259026201E-4</v>
      </c>
      <c r="F98" s="94" t="e">
        <f ca="1">IF(AND(H98=0,SUM(H98:H$116)&gt;0),0.0001,H98)</f>
        <v>#N/A</v>
      </c>
      <c r="G98" s="94" t="e">
        <f t="shared" ca="1" si="13"/>
        <v>#N/A</v>
      </c>
      <c r="H98" s="94" t="e">
        <f t="shared" ca="1" si="47"/>
        <v>#N/A</v>
      </c>
      <c r="I98" s="161" t="e">
        <f t="shared" ca="1" si="15"/>
        <v>#N/A</v>
      </c>
      <c r="J98" s="156" t="e">
        <f t="shared" ca="1" si="33"/>
        <v>#N/A</v>
      </c>
      <c r="K98" s="160" t="e">
        <f t="shared" ca="1" si="16"/>
        <v>#N/A</v>
      </c>
      <c r="L98" s="101" t="e">
        <f t="shared" ca="1" si="48"/>
        <v>#N/A</v>
      </c>
      <c r="M98" s="101" t="e">
        <f t="shared" ca="1" si="49"/>
        <v>#N/A</v>
      </c>
      <c r="N98" s="101" t="e">
        <f t="shared" ca="1" si="18"/>
        <v>#N/A</v>
      </c>
      <c r="O98" s="285">
        <f t="shared" si="50"/>
        <v>0.99865356719910514</v>
      </c>
      <c r="P98" s="891">
        <f t="shared" si="34"/>
        <v>1.8723961259026201E-4</v>
      </c>
      <c r="Q98" s="99">
        <f t="shared" si="35"/>
        <v>0.99865356719910514</v>
      </c>
      <c r="R98" s="99" t="e">
        <f t="shared" ca="1" si="51"/>
        <v>#N/A</v>
      </c>
      <c r="S98" s="161" t="e">
        <f t="shared" ca="1" si="19"/>
        <v>#N/A</v>
      </c>
      <c r="T98" s="286" t="e">
        <f t="shared" ca="1" si="20"/>
        <v>#N/A</v>
      </c>
      <c r="U98" s="285">
        <f t="shared" si="52"/>
        <v>0.99999106656824577</v>
      </c>
      <c r="V98" s="891">
        <f t="shared" si="36"/>
        <v>2.1783204490199992E-6</v>
      </c>
      <c r="W98" s="99">
        <f t="shared" si="37"/>
        <v>0.99999106656824577</v>
      </c>
      <c r="X98" s="99" t="e">
        <f t="shared" ca="1" si="21"/>
        <v>#N/A</v>
      </c>
      <c r="Y98" s="161" t="e">
        <f t="shared" ca="1" si="22"/>
        <v>#N/A</v>
      </c>
      <c r="Z98" s="286" t="e">
        <f t="shared" ca="1" si="23"/>
        <v>#N/A</v>
      </c>
      <c r="AA98" s="285">
        <f t="shared" si="53"/>
        <v>0.9601579870218635</v>
      </c>
      <c r="AB98" s="891">
        <f t="shared" si="38"/>
        <v>2.649685532996271E-3</v>
      </c>
      <c r="AC98" s="99">
        <f t="shared" si="39"/>
        <v>0.9601579870218635</v>
      </c>
      <c r="AD98" s="99" t="e">
        <f t="shared" ca="1" si="24"/>
        <v>#N/A</v>
      </c>
      <c r="AE98" s="161" t="e">
        <f t="shared" ca="1" si="25"/>
        <v>#N/A</v>
      </c>
      <c r="AF98" s="286" t="e">
        <f t="shared" ca="1" si="26"/>
        <v>#N/A</v>
      </c>
      <c r="AG98" s="285">
        <f t="shared" si="54"/>
        <v>0.99137901863716094</v>
      </c>
      <c r="AH98" s="891">
        <f t="shared" si="46"/>
        <v>9.0410868911883213E-4</v>
      </c>
      <c r="AI98" s="99">
        <f t="shared" si="40"/>
        <v>0.99137901863716094</v>
      </c>
      <c r="AJ98" s="99" t="e">
        <f t="shared" ca="1" si="55"/>
        <v>#N/A</v>
      </c>
      <c r="AK98" s="161" t="e">
        <f t="shared" ca="1" si="27"/>
        <v>#N/A</v>
      </c>
      <c r="AL98" s="286" t="e">
        <f t="shared" ca="1" si="56"/>
        <v>#N/A</v>
      </c>
      <c r="AM98" s="285">
        <f t="shared" si="57"/>
        <v>0.99125975119989684</v>
      </c>
      <c r="AN98" s="891">
        <f t="shared" si="41"/>
        <v>9.6766454714192207E-4</v>
      </c>
      <c r="AO98" s="99">
        <f t="shared" si="42"/>
        <v>0.99125975119989684</v>
      </c>
      <c r="AP98" s="99" t="e">
        <f t="shared" ca="1" si="58"/>
        <v>#N/A</v>
      </c>
      <c r="AQ98" s="161" t="e">
        <f t="shared" ca="1" si="29"/>
        <v>#N/A</v>
      </c>
      <c r="AR98" s="286" t="e">
        <f t="shared" ca="1" si="59"/>
        <v>#N/A</v>
      </c>
      <c r="AS98" s="285">
        <f t="shared" si="60"/>
        <v>0.99712807609096576</v>
      </c>
      <c r="AT98" s="891">
        <f t="shared" si="43"/>
        <v>3.5126523410577981E-4</v>
      </c>
      <c r="AU98" s="99">
        <f t="shared" si="44"/>
        <v>0.99712807609096576</v>
      </c>
      <c r="AV98" s="99" t="e">
        <f t="shared" ca="1" si="30"/>
        <v>#N/A</v>
      </c>
      <c r="AW98" s="161" t="e">
        <f t="shared" ca="1" si="31"/>
        <v>#N/A</v>
      </c>
      <c r="AX98" s="286" t="e">
        <f t="shared" ca="1" si="61"/>
        <v>#N/A</v>
      </c>
    </row>
    <row r="99" spans="2:53" x14ac:dyDescent="0.25">
      <c r="B99" s="104">
        <f t="shared" si="32"/>
        <v>42</v>
      </c>
      <c r="C99" s="94">
        <v>43</v>
      </c>
      <c r="D99" s="94">
        <f t="shared" si="12"/>
        <v>0.99881600993661057</v>
      </c>
      <c r="E99" s="94">
        <f t="shared" si="45"/>
        <v>1.6244273750543048E-4</v>
      </c>
      <c r="F99" s="94" t="e">
        <f ca="1">IF(AND(H99=0,SUM(H99:H$116)&gt;0),0.0001,H99)</f>
        <v>#N/A</v>
      </c>
      <c r="G99" s="94" t="e">
        <f t="shared" ca="1" si="13"/>
        <v>#N/A</v>
      </c>
      <c r="H99" s="94" t="e">
        <f t="shared" ca="1" si="47"/>
        <v>#N/A</v>
      </c>
      <c r="I99" s="161" t="e">
        <f t="shared" ca="1" si="15"/>
        <v>#N/A</v>
      </c>
      <c r="J99" s="156" t="e">
        <f t="shared" ca="1" si="33"/>
        <v>#N/A</v>
      </c>
      <c r="K99" s="160" t="e">
        <f t="shared" ca="1" si="16"/>
        <v>#N/A</v>
      </c>
      <c r="L99" s="101" t="e">
        <f t="shared" ca="1" si="48"/>
        <v>#N/A</v>
      </c>
      <c r="M99" s="101" t="e">
        <f t="shared" ca="1" si="49"/>
        <v>#N/A</v>
      </c>
      <c r="N99" s="101" t="e">
        <f t="shared" ca="1" si="18"/>
        <v>#N/A</v>
      </c>
      <c r="O99" s="285">
        <f t="shared" si="50"/>
        <v>0.99881600993661057</v>
      </c>
      <c r="P99" s="891">
        <f t="shared" si="34"/>
        <v>1.6244273750543048E-4</v>
      </c>
      <c r="Q99" s="99">
        <f t="shared" si="35"/>
        <v>0.99881600993661057</v>
      </c>
      <c r="R99" s="99" t="e">
        <f t="shared" ca="1" si="51"/>
        <v>#N/A</v>
      </c>
      <c r="S99" s="161" t="e">
        <f t="shared" ca="1" si="19"/>
        <v>#N/A</v>
      </c>
      <c r="T99" s="286" t="e">
        <f t="shared" ca="1" si="20"/>
        <v>#N/A</v>
      </c>
      <c r="U99" s="285">
        <f t="shared" si="52"/>
        <v>0.99999279670375418</v>
      </c>
      <c r="V99" s="891">
        <f t="shared" si="36"/>
        <v>1.7301355084153869E-6</v>
      </c>
      <c r="W99" s="99">
        <f t="shared" si="37"/>
        <v>0.99999279670375418</v>
      </c>
      <c r="X99" s="99" t="e">
        <f t="shared" ca="1" si="21"/>
        <v>#N/A</v>
      </c>
      <c r="Y99" s="161" t="e">
        <f t="shared" ca="1" si="22"/>
        <v>#N/A</v>
      </c>
      <c r="Z99" s="286" t="e">
        <f t="shared" ca="1" si="23"/>
        <v>#N/A</v>
      </c>
      <c r="AA99" s="285">
        <f t="shared" si="53"/>
        <v>0.96261413792512074</v>
      </c>
      <c r="AB99" s="891">
        <f t="shared" si="38"/>
        <v>2.4561509032572371E-3</v>
      </c>
      <c r="AC99" s="99">
        <f t="shared" si="39"/>
        <v>0.96261413792512074</v>
      </c>
      <c r="AD99" s="99" t="e">
        <f t="shared" ca="1" si="24"/>
        <v>#N/A</v>
      </c>
      <c r="AE99" s="161" t="e">
        <f t="shared" ca="1" si="25"/>
        <v>#N/A</v>
      </c>
      <c r="AF99" s="286" t="e">
        <f t="shared" ca="1" si="26"/>
        <v>#N/A</v>
      </c>
      <c r="AG99" s="285">
        <f t="shared" si="54"/>
        <v>0.99218830950874859</v>
      </c>
      <c r="AH99" s="891">
        <f t="shared" si="46"/>
        <v>8.0929087158765345E-4</v>
      </c>
      <c r="AI99" s="99">
        <f t="shared" si="40"/>
        <v>0.99218830950874859</v>
      </c>
      <c r="AJ99" s="99" t="e">
        <f t="shared" ca="1" si="55"/>
        <v>#N/A</v>
      </c>
      <c r="AK99" s="161" t="e">
        <f t="shared" ca="1" si="27"/>
        <v>#N/A</v>
      </c>
      <c r="AL99" s="286" t="e">
        <f t="shared" ca="1" si="56"/>
        <v>#N/A</v>
      </c>
      <c r="AM99" s="285">
        <f t="shared" si="57"/>
        <v>0.99212196666039121</v>
      </c>
      <c r="AN99" s="891">
        <f t="shared" si="41"/>
        <v>8.6221546049436437E-4</v>
      </c>
      <c r="AO99" s="99">
        <f t="shared" si="42"/>
        <v>0.99212196666039121</v>
      </c>
      <c r="AP99" s="99" t="e">
        <f t="shared" ca="1" si="58"/>
        <v>#N/A</v>
      </c>
      <c r="AQ99" s="161" t="e">
        <f t="shared" ca="1" si="29"/>
        <v>#N/A</v>
      </c>
      <c r="AR99" s="286" t="e">
        <f t="shared" ca="1" si="59"/>
        <v>#N/A</v>
      </c>
      <c r="AS99" s="285">
        <f t="shared" si="60"/>
        <v>0.99743737550648104</v>
      </c>
      <c r="AT99" s="891">
        <f t="shared" si="43"/>
        <v>3.0929941551527396E-4</v>
      </c>
      <c r="AU99" s="99">
        <f t="shared" si="44"/>
        <v>0.99743737550648104</v>
      </c>
      <c r="AV99" s="99" t="e">
        <f t="shared" ca="1" si="30"/>
        <v>#N/A</v>
      </c>
      <c r="AW99" s="161" t="e">
        <f t="shared" ca="1" si="31"/>
        <v>#N/A</v>
      </c>
      <c r="AX99" s="286" t="e">
        <f t="shared" ca="1" si="61"/>
        <v>#N/A</v>
      </c>
    </row>
    <row r="100" spans="2:53" x14ac:dyDescent="0.25">
      <c r="B100" s="104">
        <f t="shared" si="32"/>
        <v>43</v>
      </c>
      <c r="C100" s="94">
        <v>44</v>
      </c>
      <c r="D100" s="94">
        <f t="shared" si="12"/>
        <v>0.99895719446456688</v>
      </c>
      <c r="E100" s="94">
        <f t="shared" si="45"/>
        <v>1.411845279563062E-4</v>
      </c>
      <c r="F100" s="94" t="e">
        <f ca="1">IF(AND(H100=0,SUM(H100:H$116)&gt;0),0.0001,H100)</f>
        <v>#N/A</v>
      </c>
      <c r="G100" s="94" t="e">
        <f t="shared" ca="1" si="13"/>
        <v>#N/A</v>
      </c>
      <c r="H100" s="94" t="e">
        <f t="shared" ca="1" si="47"/>
        <v>#N/A</v>
      </c>
      <c r="I100" s="161" t="e">
        <f t="shared" ca="1" si="15"/>
        <v>#N/A</v>
      </c>
      <c r="J100" s="156" t="e">
        <f t="shared" ca="1" si="33"/>
        <v>#N/A</v>
      </c>
      <c r="K100" s="160" t="e">
        <f t="shared" ca="1" si="16"/>
        <v>#N/A</v>
      </c>
      <c r="L100" s="101" t="e">
        <f t="shared" ca="1" si="48"/>
        <v>#N/A</v>
      </c>
      <c r="M100" s="101" t="e">
        <f t="shared" ca="1" si="49"/>
        <v>#N/A</v>
      </c>
      <c r="N100" s="101" t="e">
        <f t="shared" ca="1" si="18"/>
        <v>#N/A</v>
      </c>
      <c r="O100" s="285">
        <f t="shared" si="50"/>
        <v>0.99895719446456688</v>
      </c>
      <c r="P100" s="891">
        <f t="shared" si="34"/>
        <v>1.411845279563062E-4</v>
      </c>
      <c r="Q100" s="99">
        <f t="shared" si="35"/>
        <v>0.99895719446456688</v>
      </c>
      <c r="R100" s="99" t="e">
        <f t="shared" ca="1" si="51"/>
        <v>#N/A</v>
      </c>
      <c r="S100" s="161" t="e">
        <f t="shared" ca="1" si="19"/>
        <v>#N/A</v>
      </c>
      <c r="T100" s="286" t="e">
        <f t="shared" ca="1" si="20"/>
        <v>#N/A</v>
      </c>
      <c r="U100" s="285">
        <f t="shared" si="52"/>
        <v>0.99999417516476807</v>
      </c>
      <c r="V100" s="891">
        <f t="shared" si="36"/>
        <v>1.3784610138900533E-6</v>
      </c>
      <c r="W100" s="99">
        <f t="shared" si="37"/>
        <v>0.99999417516476807</v>
      </c>
      <c r="X100" s="99" t="e">
        <f t="shared" ca="1" si="21"/>
        <v>#N/A</v>
      </c>
      <c r="Y100" s="161" t="e">
        <f t="shared" ca="1" si="22"/>
        <v>#N/A</v>
      </c>
      <c r="Z100" s="286" t="e">
        <f t="shared" ca="1" si="23"/>
        <v>#N/A</v>
      </c>
      <c r="AA100" s="285">
        <f t="shared" si="53"/>
        <v>0.96489297008427943</v>
      </c>
      <c r="AB100" s="891">
        <f t="shared" si="38"/>
        <v>2.2788321591586946E-3</v>
      </c>
      <c r="AC100" s="99">
        <f t="shared" si="39"/>
        <v>0.96489297008427943</v>
      </c>
      <c r="AD100" s="99" t="e">
        <f t="shared" ca="1" si="24"/>
        <v>#N/A</v>
      </c>
      <c r="AE100" s="161" t="e">
        <f t="shared" ca="1" si="25"/>
        <v>#N/A</v>
      </c>
      <c r="AF100" s="286" t="e">
        <f t="shared" ca="1" si="26"/>
        <v>#N/A</v>
      </c>
      <c r="AG100" s="285">
        <f t="shared" si="54"/>
        <v>0.99291366119132185</v>
      </c>
      <c r="AH100" s="891">
        <f t="shared" si="46"/>
        <v>7.2535168257326088E-4</v>
      </c>
      <c r="AI100" s="99">
        <f t="shared" si="40"/>
        <v>0.99291366119132185</v>
      </c>
      <c r="AJ100" s="99" t="e">
        <f t="shared" ca="1" si="55"/>
        <v>#N/A</v>
      </c>
      <c r="AK100" s="161" t="e">
        <f t="shared" ca="1" si="27"/>
        <v>#N/A</v>
      </c>
      <c r="AL100" s="286" t="e">
        <f t="shared" ca="1" si="56"/>
        <v>#N/A</v>
      </c>
      <c r="AM100" s="285">
        <f t="shared" si="57"/>
        <v>0.99289118542782251</v>
      </c>
      <c r="AN100" s="891">
        <f t="shared" si="41"/>
        <v>7.6921876743130113E-4</v>
      </c>
      <c r="AO100" s="99">
        <f t="shared" si="42"/>
        <v>0.99289118542782251</v>
      </c>
      <c r="AP100" s="99" t="e">
        <f t="shared" ca="1" si="58"/>
        <v>#N/A</v>
      </c>
      <c r="AQ100" s="161" t="e">
        <f t="shared" ca="1" si="29"/>
        <v>#N/A</v>
      </c>
      <c r="AR100" s="286" t="e">
        <f t="shared" ca="1" si="59"/>
        <v>#N/A</v>
      </c>
      <c r="AS100" s="285">
        <f t="shared" si="60"/>
        <v>0.99771016061458395</v>
      </c>
      <c r="AT100" s="891">
        <f t="shared" si="43"/>
        <v>2.7278510810291312E-4</v>
      </c>
      <c r="AU100" s="99">
        <f t="shared" si="44"/>
        <v>0.99771016061458395</v>
      </c>
      <c r="AV100" s="99" t="e">
        <f t="shared" ca="1" si="30"/>
        <v>#N/A</v>
      </c>
      <c r="AW100" s="161" t="e">
        <f t="shared" ca="1" si="31"/>
        <v>#N/A</v>
      </c>
      <c r="AX100" s="286" t="e">
        <f t="shared" ca="1" si="61"/>
        <v>#N/A</v>
      </c>
    </row>
    <row r="101" spans="2:53" x14ac:dyDescent="0.25">
      <c r="B101" s="104">
        <f t="shared" si="32"/>
        <v>44</v>
      </c>
      <c r="C101" s="94">
        <v>45</v>
      </c>
      <c r="D101" s="94">
        <f t="shared" si="12"/>
        <v>0.99908011858988233</v>
      </c>
      <c r="E101" s="94">
        <f t="shared" si="45"/>
        <v>1.2292412531544894E-4</v>
      </c>
      <c r="F101" s="94" t="e">
        <f ca="1">IF(AND(H101=0,SUM(H101:H$116)&gt;0),0.0001,H101)</f>
        <v>#N/A</v>
      </c>
      <c r="G101" s="94" t="e">
        <f t="shared" ca="1" si="13"/>
        <v>#N/A</v>
      </c>
      <c r="H101" s="94" t="e">
        <f t="shared" ca="1" si="47"/>
        <v>#N/A</v>
      </c>
      <c r="I101" s="161" t="e">
        <f t="shared" ca="1" si="15"/>
        <v>#N/A</v>
      </c>
      <c r="J101" s="156" t="e">
        <f t="shared" ca="1" si="33"/>
        <v>#N/A</v>
      </c>
      <c r="K101" s="160" t="e">
        <f t="shared" ca="1" si="16"/>
        <v>#N/A</v>
      </c>
      <c r="L101" s="101" t="e">
        <f t="shared" ca="1" si="48"/>
        <v>#N/A</v>
      </c>
      <c r="M101" s="101" t="e">
        <f t="shared" ca="1" si="49"/>
        <v>#N/A</v>
      </c>
      <c r="N101" s="101" t="e">
        <f t="shared" ca="1" si="18"/>
        <v>#N/A</v>
      </c>
      <c r="O101" s="285">
        <f t="shared" si="50"/>
        <v>0.99908011858988233</v>
      </c>
      <c r="P101" s="891">
        <f t="shared" si="34"/>
        <v>1.2292412531544894E-4</v>
      </c>
      <c r="Q101" s="99">
        <f t="shared" si="35"/>
        <v>0.99908011858988233</v>
      </c>
      <c r="R101" s="99" t="e">
        <f t="shared" ca="1" si="51"/>
        <v>#N/A</v>
      </c>
      <c r="S101" s="161" t="e">
        <f t="shared" ca="1" si="19"/>
        <v>#N/A</v>
      </c>
      <c r="T101" s="286" t="e">
        <f t="shared" ca="1" si="20"/>
        <v>#N/A</v>
      </c>
      <c r="U101" s="285">
        <f t="shared" si="52"/>
        <v>0.9999952767675967</v>
      </c>
      <c r="V101" s="891">
        <f t="shared" si="36"/>
        <v>1.1016028286237045E-6</v>
      </c>
      <c r="W101" s="99">
        <f t="shared" si="37"/>
        <v>0.9999952767675967</v>
      </c>
      <c r="X101" s="99" t="e">
        <f t="shared" ca="1" si="21"/>
        <v>#N/A</v>
      </c>
      <c r="Y101" s="161" t="e">
        <f t="shared" ca="1" si="22"/>
        <v>#N/A</v>
      </c>
      <c r="Z101" s="286" t="e">
        <f t="shared" ca="1" si="23"/>
        <v>#N/A</v>
      </c>
      <c r="AA101" s="285">
        <f t="shared" si="53"/>
        <v>0.96700916902368905</v>
      </c>
      <c r="AB101" s="891">
        <f t="shared" si="38"/>
        <v>2.1161989394096192E-3</v>
      </c>
      <c r="AC101" s="99">
        <f t="shared" si="39"/>
        <v>0.96700916902368905</v>
      </c>
      <c r="AD101" s="99" t="e">
        <f t="shared" ca="1" si="24"/>
        <v>#N/A</v>
      </c>
      <c r="AE101" s="161" t="e">
        <f t="shared" ca="1" si="25"/>
        <v>#N/A</v>
      </c>
      <c r="AF101" s="286" t="e">
        <f t="shared" ca="1" si="26"/>
        <v>#N/A</v>
      </c>
      <c r="AG101" s="285">
        <f t="shared" si="54"/>
        <v>0.99356459929864627</v>
      </c>
      <c r="AH101" s="891">
        <f t="shared" si="46"/>
        <v>6.5093810732441693E-4</v>
      </c>
      <c r="AI101" s="99">
        <f t="shared" si="40"/>
        <v>0.99356459929864627</v>
      </c>
      <c r="AJ101" s="99" t="e">
        <f t="shared" ca="1" si="55"/>
        <v>#N/A</v>
      </c>
      <c r="AK101" s="161" t="e">
        <f t="shared" ca="1" si="27"/>
        <v>#N/A</v>
      </c>
      <c r="AL101" s="286" t="e">
        <f t="shared" ca="1" si="56"/>
        <v>#N/A</v>
      </c>
      <c r="AM101" s="285">
        <f t="shared" si="57"/>
        <v>0.99357827970052615</v>
      </c>
      <c r="AN101" s="891">
        <f t="shared" si="41"/>
        <v>6.8709427270363665E-4</v>
      </c>
      <c r="AO101" s="99">
        <f t="shared" si="42"/>
        <v>0.99357827970052615</v>
      </c>
      <c r="AP101" s="99" t="e">
        <f t="shared" ca="1" si="58"/>
        <v>#N/A</v>
      </c>
      <c r="AQ101" s="161" t="e">
        <f t="shared" ca="1" si="29"/>
        <v>#N/A</v>
      </c>
      <c r="AR101" s="286" t="e">
        <f t="shared" ca="1" si="59"/>
        <v>#N/A</v>
      </c>
      <c r="AS101" s="285">
        <f t="shared" si="60"/>
        <v>0.99795111860564234</v>
      </c>
      <c r="AT101" s="891">
        <f t="shared" si="43"/>
        <v>2.4095799105838811E-4</v>
      </c>
      <c r="AU101" s="99">
        <f t="shared" si="44"/>
        <v>0.99795111860564234</v>
      </c>
      <c r="AV101" s="99" t="e">
        <f t="shared" ca="1" si="30"/>
        <v>#N/A</v>
      </c>
      <c r="AW101" s="161" t="e">
        <f t="shared" ca="1" si="31"/>
        <v>#N/A</v>
      </c>
      <c r="AX101" s="286" t="e">
        <f t="shared" ca="1" si="61"/>
        <v>#N/A</v>
      </c>
    </row>
    <row r="102" spans="2:53" x14ac:dyDescent="0.25">
      <c r="B102" s="104">
        <f t="shared" si="32"/>
        <v>45</v>
      </c>
      <c r="C102" s="94">
        <v>46</v>
      </c>
      <c r="D102" s="94">
        <f t="shared" si="12"/>
        <v>0.99918732730557902</v>
      </c>
      <c r="E102" s="94">
        <f t="shared" si="45"/>
        <v>1.0720871569669388E-4</v>
      </c>
      <c r="F102" s="94" t="e">
        <f ca="1">IF(AND(H102=0,SUM(H102:H$116)&gt;0),0.0001,H102)</f>
        <v>#N/A</v>
      </c>
      <c r="G102" s="94" t="e">
        <f t="shared" ca="1" si="13"/>
        <v>#N/A</v>
      </c>
      <c r="H102" s="94" t="e">
        <f t="shared" ca="1" si="47"/>
        <v>#N/A</v>
      </c>
      <c r="I102" s="161" t="e">
        <f t="shared" ca="1" si="15"/>
        <v>#N/A</v>
      </c>
      <c r="J102" s="156" t="e">
        <f t="shared" ca="1" si="33"/>
        <v>#N/A</v>
      </c>
      <c r="K102" s="160" t="e">
        <f t="shared" ca="1" si="16"/>
        <v>#N/A</v>
      </c>
      <c r="L102" s="101" t="e">
        <f t="shared" ca="1" si="48"/>
        <v>#N/A</v>
      </c>
      <c r="M102" s="101" t="e">
        <f t="shared" ca="1" si="49"/>
        <v>#N/A</v>
      </c>
      <c r="N102" s="101" t="e">
        <f t="shared" ca="1" si="18"/>
        <v>#N/A</v>
      </c>
      <c r="O102" s="285">
        <f t="shared" si="50"/>
        <v>0.99918732730557902</v>
      </c>
      <c r="P102" s="891">
        <f t="shared" si="34"/>
        <v>1.0720871569669388E-4</v>
      </c>
      <c r="Q102" s="99">
        <f t="shared" si="35"/>
        <v>0.99918732730557902</v>
      </c>
      <c r="R102" s="99" t="e">
        <f t="shared" ca="1" si="51"/>
        <v>#N/A</v>
      </c>
      <c r="S102" s="161" t="e">
        <f t="shared" ca="1" si="19"/>
        <v>#N/A</v>
      </c>
      <c r="T102" s="286" t="e">
        <f t="shared" ca="1" si="20"/>
        <v>#N/A</v>
      </c>
      <c r="U102" s="285">
        <f t="shared" si="52"/>
        <v>0.99999615971259082</v>
      </c>
      <c r="V102" s="891">
        <f t="shared" si="36"/>
        <v>8.8294499411833982E-7</v>
      </c>
      <c r="W102" s="99">
        <f t="shared" si="37"/>
        <v>0.99999615971259082</v>
      </c>
      <c r="X102" s="99" t="e">
        <f t="shared" ca="1" si="21"/>
        <v>#N/A</v>
      </c>
      <c r="Y102" s="161" t="e">
        <f t="shared" ca="1" si="22"/>
        <v>#N/A</v>
      </c>
      <c r="Z102" s="286" t="e">
        <f t="shared" ca="1" si="23"/>
        <v>#N/A</v>
      </c>
      <c r="AA102" s="285">
        <f t="shared" si="53"/>
        <v>0.96897604992683728</v>
      </c>
      <c r="AB102" s="891">
        <f t="shared" si="38"/>
        <v>1.9668809031482271E-3</v>
      </c>
      <c r="AC102" s="99">
        <f t="shared" si="39"/>
        <v>0.96897604992683728</v>
      </c>
      <c r="AD102" s="99" t="e">
        <f t="shared" ca="1" si="24"/>
        <v>#N/A</v>
      </c>
      <c r="AE102" s="161" t="e">
        <f t="shared" ca="1" si="25"/>
        <v>#N/A</v>
      </c>
      <c r="AF102" s="286" t="e">
        <f t="shared" ca="1" si="26"/>
        <v>#N/A</v>
      </c>
      <c r="AG102" s="285">
        <f t="shared" si="54"/>
        <v>0.99414947729221537</v>
      </c>
      <c r="AH102" s="891">
        <f t="shared" si="46"/>
        <v>5.8487799356909953E-4</v>
      </c>
      <c r="AI102" s="99">
        <f t="shared" si="40"/>
        <v>0.99414947729221537</v>
      </c>
      <c r="AJ102" s="99" t="e">
        <f t="shared" ca="1" si="55"/>
        <v>#N/A</v>
      </c>
      <c r="AK102" s="161" t="e">
        <f t="shared" ca="1" si="27"/>
        <v>#N/A</v>
      </c>
      <c r="AL102" s="286" t="e">
        <f t="shared" ca="1" si="56"/>
        <v>#N/A</v>
      </c>
      <c r="AM102" s="285">
        <f t="shared" si="57"/>
        <v>0.99419275520668493</v>
      </c>
      <c r="AN102" s="891">
        <f t="shared" si="41"/>
        <v>6.1447550615878477E-4</v>
      </c>
      <c r="AO102" s="99">
        <f t="shared" si="42"/>
        <v>0.99419275520668493</v>
      </c>
      <c r="AP102" s="99" t="e">
        <f t="shared" ca="1" si="58"/>
        <v>#N/A</v>
      </c>
      <c r="AQ102" s="161" t="e">
        <f t="shared" ca="1" si="29"/>
        <v>#N/A</v>
      </c>
      <c r="AR102" s="286" t="e">
        <f t="shared" ca="1" si="59"/>
        <v>#N/A</v>
      </c>
      <c r="AS102" s="285">
        <f t="shared" si="60"/>
        <v>0.99816428722449002</v>
      </c>
      <c r="AT102" s="891">
        <f t="shared" si="43"/>
        <v>2.1316861884768112E-4</v>
      </c>
      <c r="AU102" s="99">
        <f t="shared" si="44"/>
        <v>0.99816428722449002</v>
      </c>
      <c r="AV102" s="99" t="e">
        <f t="shared" ca="1" si="30"/>
        <v>#N/A</v>
      </c>
      <c r="AW102" s="161" t="e">
        <f t="shared" ca="1" si="31"/>
        <v>#N/A</v>
      </c>
      <c r="AX102" s="286" t="e">
        <f t="shared" ca="1" si="61"/>
        <v>#N/A</v>
      </c>
    </row>
    <row r="103" spans="2:53" x14ac:dyDescent="0.25">
      <c r="B103" s="104">
        <f t="shared" si="32"/>
        <v>46</v>
      </c>
      <c r="C103" s="94">
        <v>47</v>
      </c>
      <c r="D103" s="94">
        <f t="shared" si="12"/>
        <v>0.99928098564915091</v>
      </c>
      <c r="E103" s="94">
        <f t="shared" si="45"/>
        <v>9.3658343571889624E-5</v>
      </c>
      <c r="F103" s="94" t="e">
        <f ca="1">IF(AND(H103=0,SUM(H103:H$116)&gt;0),0.0001,H103)</f>
        <v>#N/A</v>
      </c>
      <c r="G103" s="94" t="e">
        <f t="shared" ca="1" si="13"/>
        <v>#N/A</v>
      </c>
      <c r="H103" s="94" t="e">
        <f t="shared" ca="1" si="47"/>
        <v>#N/A</v>
      </c>
      <c r="I103" s="161" t="e">
        <f t="shared" ca="1" si="15"/>
        <v>#N/A</v>
      </c>
      <c r="J103" s="156" t="e">
        <f t="shared" ca="1" si="33"/>
        <v>#N/A</v>
      </c>
      <c r="K103" s="160" t="e">
        <f t="shared" ca="1" si="16"/>
        <v>#N/A</v>
      </c>
      <c r="L103" s="101" t="e">
        <f t="shared" ca="1" si="48"/>
        <v>#N/A</v>
      </c>
      <c r="M103" s="101" t="e">
        <f t="shared" ca="1" si="49"/>
        <v>#N/A</v>
      </c>
      <c r="N103" s="101" t="e">
        <f t="shared" ca="1" si="18"/>
        <v>#N/A</v>
      </c>
      <c r="O103" s="285">
        <f t="shared" si="50"/>
        <v>0.99928098564915091</v>
      </c>
      <c r="P103" s="891">
        <f t="shared" si="34"/>
        <v>9.3658343571889624E-5</v>
      </c>
      <c r="Q103" s="99">
        <f t="shared" si="35"/>
        <v>0.99928098564915091</v>
      </c>
      <c r="R103" s="99" t="e">
        <f t="shared" ca="1" si="51"/>
        <v>#N/A</v>
      </c>
      <c r="S103" s="161" t="e">
        <f t="shared" ca="1" si="19"/>
        <v>#N/A</v>
      </c>
      <c r="T103" s="286" t="e">
        <f t="shared" ca="1" si="20"/>
        <v>#N/A</v>
      </c>
      <c r="U103" s="285">
        <f t="shared" si="52"/>
        <v>0.99999686942726096</v>
      </c>
      <c r="V103" s="891">
        <f t="shared" si="36"/>
        <v>7.0971467014402378E-7</v>
      </c>
      <c r="W103" s="99">
        <f t="shared" si="37"/>
        <v>0.99999686942726096</v>
      </c>
      <c r="X103" s="99" t="e">
        <f t="shared" ca="1" si="21"/>
        <v>#N/A</v>
      </c>
      <c r="Y103" s="161" t="e">
        <f t="shared" ca="1" si="22"/>
        <v>#N/A</v>
      </c>
      <c r="Z103" s="286" t="e">
        <f t="shared" ca="1" si="23"/>
        <v>#N/A</v>
      </c>
      <c r="AA103" s="285">
        <f t="shared" si="53"/>
        <v>0.97080569940087535</v>
      </c>
      <c r="AB103" s="891">
        <f t="shared" si="38"/>
        <v>1.8296494740380753E-3</v>
      </c>
      <c r="AC103" s="99">
        <f t="shared" si="39"/>
        <v>0.97080569940087535</v>
      </c>
      <c r="AD103" s="99" t="e">
        <f t="shared" ca="1" si="24"/>
        <v>#N/A</v>
      </c>
      <c r="AE103" s="161" t="e">
        <f t="shared" ca="1" si="25"/>
        <v>#N/A</v>
      </c>
      <c r="AF103" s="286" t="e">
        <f t="shared" ca="1" si="26"/>
        <v>#N/A</v>
      </c>
      <c r="AG103" s="285">
        <f t="shared" si="54"/>
        <v>0.99467563157314665</v>
      </c>
      <c r="AH103" s="891">
        <f t="shared" si="46"/>
        <v>5.2615428093127914E-4</v>
      </c>
      <c r="AI103" s="99">
        <f t="shared" si="40"/>
        <v>0.99467563157314665</v>
      </c>
      <c r="AJ103" s="99" t="e">
        <f t="shared" ca="1" si="55"/>
        <v>#N/A</v>
      </c>
      <c r="AK103" s="161" t="e">
        <f t="shared" ca="1" si="27"/>
        <v>#N/A</v>
      </c>
      <c r="AL103" s="286" t="e">
        <f t="shared" ca="1" si="56"/>
        <v>#N/A</v>
      </c>
      <c r="AM103" s="285">
        <f t="shared" si="57"/>
        <v>0.99474293437526518</v>
      </c>
      <c r="AN103" s="891">
        <f t="shared" si="41"/>
        <v>5.5017916858024485E-4</v>
      </c>
      <c r="AO103" s="99">
        <f t="shared" si="42"/>
        <v>0.99474293437526518</v>
      </c>
      <c r="AP103" s="99" t="e">
        <f t="shared" ca="1" si="58"/>
        <v>#N/A</v>
      </c>
      <c r="AQ103" s="161" t="e">
        <f t="shared" ca="1" si="29"/>
        <v>#N/A</v>
      </c>
      <c r="AR103" s="286" t="e">
        <f t="shared" ca="1" si="59"/>
        <v>#N/A</v>
      </c>
      <c r="AS103" s="285">
        <f t="shared" si="60"/>
        <v>0.99835315125271817</v>
      </c>
      <c r="AT103" s="891">
        <f t="shared" si="43"/>
        <v>1.8886402822815285E-4</v>
      </c>
      <c r="AU103" s="99">
        <f t="shared" si="44"/>
        <v>0.99835315125271817</v>
      </c>
      <c r="AV103" s="99" t="e">
        <f t="shared" ca="1" si="30"/>
        <v>#N/A</v>
      </c>
      <c r="AW103" s="161" t="e">
        <f t="shared" ca="1" si="31"/>
        <v>#N/A</v>
      </c>
      <c r="AX103" s="286" t="e">
        <f t="shared" ca="1" si="61"/>
        <v>#N/A</v>
      </c>
    </row>
    <row r="104" spans="2:53" x14ac:dyDescent="0.25">
      <c r="B104" s="104">
        <f t="shared" si="32"/>
        <v>47</v>
      </c>
      <c r="C104" s="94">
        <v>48</v>
      </c>
      <c r="D104" s="94">
        <f t="shared" si="12"/>
        <v>0.99936293913664964</v>
      </c>
      <c r="E104" s="94">
        <f t="shared" si="45"/>
        <v>8.1953487498731548E-5</v>
      </c>
      <c r="F104" s="94" t="e">
        <f ca="1">IF(AND(H104=0,SUM(H104:H$116)&gt;0),0.0001,H104)</f>
        <v>#N/A</v>
      </c>
      <c r="G104" s="94" t="e">
        <f t="shared" ca="1" si="13"/>
        <v>#N/A</v>
      </c>
      <c r="H104" s="94" t="e">
        <f t="shared" ca="1" si="47"/>
        <v>#N/A</v>
      </c>
      <c r="I104" s="161" t="e">
        <f t="shared" ca="1" si="15"/>
        <v>#N/A</v>
      </c>
      <c r="J104" s="156" t="e">
        <f t="shared" ca="1" si="33"/>
        <v>#N/A</v>
      </c>
      <c r="K104" s="160" t="e">
        <f t="shared" ca="1" si="16"/>
        <v>#N/A</v>
      </c>
      <c r="L104" s="101" t="e">
        <f t="shared" ca="1" si="48"/>
        <v>#N/A</v>
      </c>
      <c r="M104" s="101" t="e">
        <f t="shared" ca="1" si="49"/>
        <v>#N/A</v>
      </c>
      <c r="N104" s="101" t="e">
        <f t="shared" ca="1" si="18"/>
        <v>#N/A</v>
      </c>
      <c r="O104" s="285">
        <f t="shared" si="50"/>
        <v>0.99936293913664964</v>
      </c>
      <c r="P104" s="891">
        <f t="shared" si="34"/>
        <v>8.1953487498731548E-5</v>
      </c>
      <c r="Q104" s="99">
        <f t="shared" si="35"/>
        <v>0.99936293913664964</v>
      </c>
      <c r="R104" s="99" t="e">
        <f t="shared" ca="1" si="51"/>
        <v>#N/A</v>
      </c>
      <c r="S104" s="161" t="e">
        <f t="shared" ca="1" si="19"/>
        <v>#N/A</v>
      </c>
      <c r="T104" s="286" t="e">
        <f t="shared" ca="1" si="20"/>
        <v>#N/A</v>
      </c>
      <c r="U104" s="285">
        <f t="shared" si="52"/>
        <v>0.99999744148576863</v>
      </c>
      <c r="V104" s="891">
        <f t="shared" si="36"/>
        <v>5.7205850767516608E-7</v>
      </c>
      <c r="W104" s="99">
        <f t="shared" si="37"/>
        <v>0.99999744148576863</v>
      </c>
      <c r="X104" s="99" t="e">
        <f t="shared" ca="1" si="21"/>
        <v>#N/A</v>
      </c>
      <c r="Y104" s="161" t="e">
        <f t="shared" ca="1" si="22"/>
        <v>#N/A</v>
      </c>
      <c r="Z104" s="286" t="e">
        <f t="shared" ca="1" si="23"/>
        <v>#N/A</v>
      </c>
      <c r="AA104" s="285">
        <f t="shared" si="53"/>
        <v>0.97250910122304879</v>
      </c>
      <c r="AB104" s="891">
        <f t="shared" si="38"/>
        <v>1.7034018221734337E-3</v>
      </c>
      <c r="AC104" s="99">
        <f t="shared" si="39"/>
        <v>0.97250910122304879</v>
      </c>
      <c r="AD104" s="99" t="e">
        <f t="shared" ca="1" si="24"/>
        <v>#N/A</v>
      </c>
      <c r="AE104" s="161" t="e">
        <f t="shared" ca="1" si="25"/>
        <v>#N/A</v>
      </c>
      <c r="AF104" s="286" t="e">
        <f t="shared" ca="1" si="26"/>
        <v>#N/A</v>
      </c>
      <c r="AG104" s="285">
        <f t="shared" si="54"/>
        <v>0.99514951468539259</v>
      </c>
      <c r="AH104" s="891">
        <f t="shared" si="46"/>
        <v>4.7388311224594304E-4</v>
      </c>
      <c r="AI104" s="99">
        <f t="shared" si="40"/>
        <v>0.99514951468539259</v>
      </c>
      <c r="AJ104" s="99" t="e">
        <f t="shared" ca="1" si="55"/>
        <v>#N/A</v>
      </c>
      <c r="AK104" s="161" t="e">
        <f t="shared" ca="1" si="27"/>
        <v>#N/A</v>
      </c>
      <c r="AL104" s="286" t="e">
        <f t="shared" ca="1" si="56"/>
        <v>#N/A</v>
      </c>
      <c r="AM104" s="285">
        <f t="shared" si="57"/>
        <v>0.99523611352862673</v>
      </c>
      <c r="AN104" s="891">
        <f t="shared" si="41"/>
        <v>4.9317915336155593E-4</v>
      </c>
      <c r="AO104" s="99">
        <f t="shared" si="42"/>
        <v>0.99523611352862673</v>
      </c>
      <c r="AP104" s="99" t="e">
        <f t="shared" ca="1" si="58"/>
        <v>#N/A</v>
      </c>
      <c r="AQ104" s="161" t="e">
        <f t="shared" ca="1" si="29"/>
        <v>#N/A</v>
      </c>
      <c r="AR104" s="286" t="e">
        <f t="shared" ca="1" si="59"/>
        <v>#N/A</v>
      </c>
      <c r="AS104" s="285">
        <f t="shared" si="60"/>
        <v>0.99852072371696299</v>
      </c>
      <c r="AT104" s="891">
        <f t="shared" si="43"/>
        <v>1.6757246424481398E-4</v>
      </c>
      <c r="AU104" s="99">
        <f t="shared" si="44"/>
        <v>0.99852072371696299</v>
      </c>
      <c r="AV104" s="99" t="e">
        <f t="shared" ca="1" si="30"/>
        <v>#N/A</v>
      </c>
      <c r="AW104" s="161" t="e">
        <f t="shared" ca="1" si="31"/>
        <v>#N/A</v>
      </c>
      <c r="AX104" s="286" t="e">
        <f t="shared" ca="1" si="61"/>
        <v>#N/A</v>
      </c>
    </row>
    <row r="105" spans="2:53" x14ac:dyDescent="0.25">
      <c r="B105" s="104">
        <f t="shared" si="32"/>
        <v>48</v>
      </c>
      <c r="C105" s="94">
        <v>49</v>
      </c>
      <c r="D105" s="94">
        <f t="shared" si="12"/>
        <v>0.99943476400727993</v>
      </c>
      <c r="E105" s="94">
        <f t="shared" si="45"/>
        <v>7.1824870630288196E-5</v>
      </c>
      <c r="F105" s="94" t="e">
        <f ca="1">IF(AND(H105=0,SUM(H105:H$116)&gt;0),0.0001,H105)</f>
        <v>#N/A</v>
      </c>
      <c r="G105" s="94" t="e">
        <f t="shared" ca="1" si="13"/>
        <v>#N/A</v>
      </c>
      <c r="H105" s="94" t="e">
        <f t="shared" ca="1" si="47"/>
        <v>#N/A</v>
      </c>
      <c r="I105" s="161" t="e">
        <f t="shared" ca="1" si="15"/>
        <v>#N/A</v>
      </c>
      <c r="J105" s="156" t="e">
        <f t="shared" ca="1" si="33"/>
        <v>#N/A</v>
      </c>
      <c r="K105" s="160" t="e">
        <f t="shared" ca="1" si="16"/>
        <v>#N/A</v>
      </c>
      <c r="L105" s="101" t="e">
        <f t="shared" ca="1" si="48"/>
        <v>#N/A</v>
      </c>
      <c r="M105" s="101" t="e">
        <f t="shared" ca="1" si="49"/>
        <v>#N/A</v>
      </c>
      <c r="N105" s="101" t="e">
        <f t="shared" ca="1" si="18"/>
        <v>#N/A</v>
      </c>
      <c r="O105" s="285">
        <f t="shared" si="50"/>
        <v>0.99943476400727993</v>
      </c>
      <c r="P105" s="891">
        <f t="shared" si="34"/>
        <v>7.1824870630288196E-5</v>
      </c>
      <c r="Q105" s="99">
        <f t="shared" si="35"/>
        <v>0.99943476400727993</v>
      </c>
      <c r="R105" s="99" t="e">
        <f t="shared" ca="1" si="51"/>
        <v>#N/A</v>
      </c>
      <c r="S105" s="161" t="e">
        <f t="shared" ca="1" si="19"/>
        <v>#N/A</v>
      </c>
      <c r="T105" s="286" t="e">
        <f t="shared" ca="1" si="20"/>
        <v>#N/A</v>
      </c>
      <c r="U105" s="285">
        <f t="shared" si="52"/>
        <v>0.99999790383496201</v>
      </c>
      <c r="V105" s="891">
        <f t="shared" si="36"/>
        <v>4.6234919337528879E-7</v>
      </c>
      <c r="W105" s="99">
        <f t="shared" si="37"/>
        <v>0.99999790383496201</v>
      </c>
      <c r="X105" s="99" t="e">
        <f t="shared" ca="1" si="21"/>
        <v>#N/A</v>
      </c>
      <c r="Y105" s="161" t="e">
        <f t="shared" ca="1" si="22"/>
        <v>#N/A</v>
      </c>
      <c r="Z105" s="286" t="e">
        <f t="shared" ca="1" si="23"/>
        <v>#N/A</v>
      </c>
      <c r="AA105" s="285">
        <f t="shared" si="53"/>
        <v>0.97409624801701444</v>
      </c>
      <c r="AB105" s="891">
        <f t="shared" si="38"/>
        <v>1.5871467939656547E-3</v>
      </c>
      <c r="AC105" s="99">
        <f t="shared" si="39"/>
        <v>0.97409624801701444</v>
      </c>
      <c r="AD105" s="99" t="e">
        <f t="shared" ca="1" si="24"/>
        <v>#N/A</v>
      </c>
      <c r="AE105" s="161" t="e">
        <f t="shared" ca="1" si="25"/>
        <v>#N/A</v>
      </c>
      <c r="AF105" s="286" t="e">
        <f t="shared" ca="1" si="26"/>
        <v>#N/A</v>
      </c>
      <c r="AG105" s="285">
        <f t="shared" si="54"/>
        <v>0.99557680989935804</v>
      </c>
      <c r="AH105" s="891">
        <f t="shared" si="46"/>
        <v>4.2729521396545067E-4</v>
      </c>
      <c r="AI105" s="99">
        <f t="shared" si="40"/>
        <v>0.99557680989935804</v>
      </c>
      <c r="AJ105" s="99" t="e">
        <f t="shared" ca="1" si="55"/>
        <v>#N/A</v>
      </c>
      <c r="AK105" s="161" t="e">
        <f t="shared" ca="1" si="27"/>
        <v>#N/A</v>
      </c>
      <c r="AL105" s="286" t="e">
        <f t="shared" ca="1" si="56"/>
        <v>#N/A</v>
      </c>
      <c r="AM105" s="285">
        <f t="shared" si="57"/>
        <v>0.99567869796218322</v>
      </c>
      <c r="AN105" s="891">
        <f t="shared" si="41"/>
        <v>4.4258443355649213E-4</v>
      </c>
      <c r="AO105" s="99">
        <f t="shared" si="42"/>
        <v>0.99567869796218322</v>
      </c>
      <c r="AP105" s="99" t="e">
        <f t="shared" ca="1" si="58"/>
        <v>#N/A</v>
      </c>
      <c r="AQ105" s="161" t="e">
        <f t="shared" ca="1" si="29"/>
        <v>#N/A</v>
      </c>
      <c r="AR105" s="286" t="e">
        <f t="shared" ca="1" si="59"/>
        <v>#N/A</v>
      </c>
      <c r="AS105" s="285">
        <f t="shared" si="60"/>
        <v>0.99866961438512525</v>
      </c>
      <c r="AT105" s="891">
        <f t="shared" si="43"/>
        <v>1.4889066816226038E-4</v>
      </c>
      <c r="AU105" s="99">
        <f t="shared" si="44"/>
        <v>0.99866961438512525</v>
      </c>
      <c r="AV105" s="99" t="e">
        <f t="shared" ca="1" si="30"/>
        <v>#N/A</v>
      </c>
      <c r="AW105" s="161" t="e">
        <f t="shared" ca="1" si="31"/>
        <v>#N/A</v>
      </c>
      <c r="AX105" s="286" t="e">
        <f t="shared" ca="1" si="61"/>
        <v>#N/A</v>
      </c>
    </row>
    <row r="106" spans="2:53" x14ac:dyDescent="0.25">
      <c r="B106" s="104">
        <f t="shared" si="32"/>
        <v>49</v>
      </c>
      <c r="C106" s="94">
        <v>50</v>
      </c>
      <c r="D106" s="94">
        <f t="shared" si="12"/>
        <v>0.99949780909116925</v>
      </c>
      <c r="E106" s="94">
        <f t="shared" si="45"/>
        <v>6.3045083889323728E-5</v>
      </c>
      <c r="F106" s="94" t="e">
        <f ca="1">IF(AND(H106=0,SUM(H106:H$116)&gt;0),0.0001,H106)</f>
        <v>#N/A</v>
      </c>
      <c r="G106" s="94" t="e">
        <f t="shared" ca="1" si="13"/>
        <v>#N/A</v>
      </c>
      <c r="H106" s="94" t="e">
        <f t="shared" ca="1" si="47"/>
        <v>#N/A</v>
      </c>
      <c r="I106" s="161" t="e">
        <f t="shared" ca="1" si="15"/>
        <v>#N/A</v>
      </c>
      <c r="J106" s="156" t="e">
        <f t="shared" ca="1" si="33"/>
        <v>#N/A</v>
      </c>
      <c r="K106" s="160" t="e">
        <f t="shared" ca="1" si="16"/>
        <v>#N/A</v>
      </c>
      <c r="L106" s="101" t="e">
        <f t="shared" ca="1" si="48"/>
        <v>#N/A</v>
      </c>
      <c r="M106" s="101" t="e">
        <f t="shared" ca="1" si="49"/>
        <v>#N/A</v>
      </c>
      <c r="N106" s="101" t="e">
        <f t="shared" ca="1" si="18"/>
        <v>#N/A</v>
      </c>
      <c r="O106" s="285">
        <f t="shared" si="50"/>
        <v>0.99949780909116925</v>
      </c>
      <c r="P106" s="891">
        <f t="shared" si="34"/>
        <v>6.3045083889323728E-5</v>
      </c>
      <c r="Q106" s="99">
        <f t="shared" si="35"/>
        <v>0.99949780909116925</v>
      </c>
      <c r="R106" s="99" t="e">
        <f t="shared" ca="1" si="51"/>
        <v>#N/A</v>
      </c>
      <c r="S106" s="161" t="e">
        <f t="shared" ca="1" si="19"/>
        <v>#N/A</v>
      </c>
      <c r="T106" s="286" t="e">
        <f t="shared" ca="1" si="20"/>
        <v>#N/A</v>
      </c>
      <c r="U106" s="285">
        <f t="shared" si="52"/>
        <v>0.99999827849776879</v>
      </c>
      <c r="V106" s="891">
        <f t="shared" si="36"/>
        <v>3.7466280677911357E-7</v>
      </c>
      <c r="W106" s="99">
        <f t="shared" si="37"/>
        <v>0.99999827849776879</v>
      </c>
      <c r="X106" s="99" t="e">
        <f t="shared" ca="1" si="21"/>
        <v>#N/A</v>
      </c>
      <c r="Y106" s="161" t="e">
        <f t="shared" ca="1" si="22"/>
        <v>#N/A</v>
      </c>
      <c r="Z106" s="286" t="e">
        <f t="shared" ca="1" si="23"/>
        <v>#N/A</v>
      </c>
      <c r="AA106" s="285">
        <f t="shared" si="53"/>
        <v>0.97557624055602898</v>
      </c>
      <c r="AB106" s="891">
        <f t="shared" si="38"/>
        <v>1.4799925390145408E-3</v>
      </c>
      <c r="AC106" s="99">
        <f t="shared" si="39"/>
        <v>0.97557624055602898</v>
      </c>
      <c r="AD106" s="99" t="e">
        <f t="shared" ca="1" si="24"/>
        <v>#N/A</v>
      </c>
      <c r="AE106" s="161" t="e">
        <f t="shared" ca="1" si="25"/>
        <v>#N/A</v>
      </c>
      <c r="AF106" s="286" t="e">
        <f t="shared" ca="1" si="26"/>
        <v>#N/A</v>
      </c>
      <c r="AG106" s="285">
        <f t="shared" si="54"/>
        <v>0.99596252993258105</v>
      </c>
      <c r="AH106" s="891">
        <f t="shared" si="46"/>
        <v>3.8572003322301374E-4</v>
      </c>
      <c r="AI106" s="99">
        <f t="shared" si="40"/>
        <v>0.99596252993258105</v>
      </c>
      <c r="AJ106" s="99" t="e">
        <f t="shared" ca="1" si="55"/>
        <v>#N/A</v>
      </c>
      <c r="AK106" s="161" t="e">
        <f t="shared" ca="1" si="27"/>
        <v>#N/A</v>
      </c>
      <c r="AL106" s="286" t="e">
        <f t="shared" ca="1" si="56"/>
        <v>#N/A</v>
      </c>
      <c r="AM106" s="285">
        <f t="shared" si="57"/>
        <v>0.99607631817885522</v>
      </c>
      <c r="AN106" s="891">
        <f t="shared" si="41"/>
        <v>3.9762021667200109E-4</v>
      </c>
      <c r="AO106" s="99">
        <f t="shared" si="42"/>
        <v>0.99607631817885522</v>
      </c>
      <c r="AP106" s="99" t="e">
        <f t="shared" ca="1" si="58"/>
        <v>#N/A</v>
      </c>
      <c r="AQ106" s="161" t="e">
        <f t="shared" ca="1" si="29"/>
        <v>#N/A</v>
      </c>
      <c r="AR106" s="286" t="e">
        <f t="shared" ca="1" si="59"/>
        <v>#N/A</v>
      </c>
      <c r="AS106" s="285">
        <f t="shared" si="60"/>
        <v>0.99880208765962331</v>
      </c>
      <c r="AT106" s="891">
        <f t="shared" si="43"/>
        <v>1.3247327449805724E-4</v>
      </c>
      <c r="AU106" s="99">
        <f t="shared" si="44"/>
        <v>0.99880208765962331</v>
      </c>
      <c r="AV106" s="99" t="e">
        <f t="shared" ca="1" si="30"/>
        <v>#N/A</v>
      </c>
      <c r="AW106" s="161" t="e">
        <f t="shared" ca="1" si="31"/>
        <v>#N/A</v>
      </c>
      <c r="AX106" s="286" t="e">
        <f t="shared" ca="1" si="61"/>
        <v>#N/A</v>
      </c>
    </row>
    <row r="107" spans="2:53" x14ac:dyDescent="0.25">
      <c r="B107" s="104">
        <f t="shared" si="32"/>
        <v>50</v>
      </c>
      <c r="C107" s="94">
        <v>51</v>
      </c>
      <c r="D107" s="94">
        <f t="shared" si="12"/>
        <v>0.99955323077422986</v>
      </c>
      <c r="E107" s="94">
        <f t="shared" si="45"/>
        <v>5.5421683060608018E-5</v>
      </c>
      <c r="F107" s="94" t="e">
        <f ca="1">IF(AND(H107=0,SUM(H107:H$116)&gt;0),0.0001,H107)</f>
        <v>#N/A</v>
      </c>
      <c r="G107" s="94" t="e">
        <f t="shared" ca="1" si="13"/>
        <v>#N/A</v>
      </c>
      <c r="H107" s="94" t="e">
        <f t="shared" ca="1" si="47"/>
        <v>#N/A</v>
      </c>
      <c r="I107" s="161" t="e">
        <f t="shared" ca="1" si="15"/>
        <v>#N/A</v>
      </c>
      <c r="J107" s="156" t="e">
        <f t="shared" ca="1" si="33"/>
        <v>#N/A</v>
      </c>
      <c r="K107" s="160" t="e">
        <f t="shared" ca="1" si="16"/>
        <v>#N/A</v>
      </c>
      <c r="L107" s="101" t="e">
        <f t="shared" ca="1" si="48"/>
        <v>#N/A</v>
      </c>
      <c r="M107" s="101" t="e">
        <f t="shared" ca="1" si="49"/>
        <v>#N/A</v>
      </c>
      <c r="N107" s="101" t="e">
        <f t="shared" ca="1" si="18"/>
        <v>#N/A</v>
      </c>
      <c r="O107" s="285">
        <f t="shared" si="50"/>
        <v>0.99955323077422986</v>
      </c>
      <c r="P107" s="891">
        <f t="shared" si="34"/>
        <v>5.5421683060608018E-5</v>
      </c>
      <c r="Q107" s="99">
        <f t="shared" si="35"/>
        <v>0.99955323077422986</v>
      </c>
      <c r="R107" s="99" t="e">
        <f t="shared" ca="1" si="51"/>
        <v>#N/A</v>
      </c>
      <c r="S107" s="161" t="e">
        <f t="shared" ca="1" si="19"/>
        <v>#N/A</v>
      </c>
      <c r="T107" s="286" t="e">
        <f t="shared" ca="1" si="20"/>
        <v>#N/A</v>
      </c>
      <c r="U107" s="285">
        <f t="shared" si="52"/>
        <v>0.99999858288121157</v>
      </c>
      <c r="V107" s="891">
        <f t="shared" si="36"/>
        <v>3.0438344278405083E-7</v>
      </c>
      <c r="W107" s="99">
        <f t="shared" si="37"/>
        <v>0.99999858288121157</v>
      </c>
      <c r="X107" s="99" t="e">
        <f t="shared" ca="1" si="21"/>
        <v>#N/A</v>
      </c>
      <c r="Y107" s="161" t="e">
        <f t="shared" ca="1" si="22"/>
        <v>#N/A</v>
      </c>
      <c r="Z107" s="286" t="e">
        <f t="shared" ca="1" si="23"/>
        <v>#N/A</v>
      </c>
      <c r="AA107" s="285">
        <f t="shared" si="53"/>
        <v>0.97695737617261069</v>
      </c>
      <c r="AB107" s="891">
        <f t="shared" si="38"/>
        <v>1.3811356165817079E-3</v>
      </c>
      <c r="AC107" s="99">
        <f t="shared" si="39"/>
        <v>0.97695737617261069</v>
      </c>
      <c r="AD107" s="99" t="e">
        <f t="shared" ca="1" si="24"/>
        <v>#N/A</v>
      </c>
      <c r="AE107" s="161" t="e">
        <f t="shared" ca="1" si="25"/>
        <v>#N/A</v>
      </c>
      <c r="AF107" s="286" t="e">
        <f t="shared" ca="1" si="26"/>
        <v>#N/A</v>
      </c>
      <c r="AG107" s="285">
        <f t="shared" si="54"/>
        <v>0.99631110213524898</v>
      </c>
      <c r="AH107" s="891">
        <f t="shared" si="46"/>
        <v>3.4857220266792943E-4</v>
      </c>
      <c r="AI107" s="99">
        <f t="shared" si="40"/>
        <v>0.99631110213524898</v>
      </c>
      <c r="AJ107" s="99" t="e">
        <f t="shared" ca="1" si="55"/>
        <v>#N/A</v>
      </c>
      <c r="AK107" s="161" t="e">
        <f t="shared" ca="1" si="27"/>
        <v>#N/A</v>
      </c>
      <c r="AL107" s="286" t="e">
        <f t="shared" ca="1" si="56"/>
        <v>#N/A</v>
      </c>
      <c r="AM107" s="285">
        <f t="shared" si="57"/>
        <v>0.99643393004330238</v>
      </c>
      <c r="AN107" s="891">
        <f t="shared" si="41"/>
        <v>3.5761186444716042E-4</v>
      </c>
      <c r="AO107" s="99">
        <f t="shared" si="42"/>
        <v>0.99643393004330238</v>
      </c>
      <c r="AP107" s="99" t="e">
        <f t="shared" ca="1" si="58"/>
        <v>#N/A</v>
      </c>
      <c r="AQ107" s="161" t="e">
        <f t="shared" ca="1" si="29"/>
        <v>#N/A</v>
      </c>
      <c r="AR107" s="286" t="e">
        <f t="shared" ca="1" si="59"/>
        <v>#N/A</v>
      </c>
      <c r="AS107" s="285">
        <f t="shared" si="60"/>
        <v>0.99892011160785676</v>
      </c>
      <c r="AT107" s="891">
        <f t="shared" si="43"/>
        <v>1.1802394823345885E-4</v>
      </c>
      <c r="AU107" s="99">
        <f t="shared" si="44"/>
        <v>0.99892011160785676</v>
      </c>
      <c r="AV107" s="99" t="e">
        <f t="shared" ca="1" si="30"/>
        <v>#N/A</v>
      </c>
      <c r="AW107" s="161" t="e">
        <f t="shared" ca="1" si="31"/>
        <v>#N/A</v>
      </c>
      <c r="AX107" s="286" t="e">
        <f t="shared" ca="1" si="61"/>
        <v>#N/A</v>
      </c>
    </row>
    <row r="108" spans="2:53" x14ac:dyDescent="0.25">
      <c r="B108" s="104">
        <f t="shared" si="32"/>
        <v>51</v>
      </c>
      <c r="C108" s="94">
        <v>52</v>
      </c>
      <c r="D108" s="94">
        <f t="shared" si="12"/>
        <v>0.99960202226150963</v>
      </c>
      <c r="E108" s="94">
        <f t="shared" si="45"/>
        <v>4.8791487279764567E-5</v>
      </c>
      <c r="F108" s="94" t="e">
        <f ca="1">IF(AND(H108=0,SUM(H108:H$116)&gt;0),0.0001,H108)</f>
        <v>#N/A</v>
      </c>
      <c r="G108" s="94" t="e">
        <f t="shared" ca="1" si="13"/>
        <v>#N/A</v>
      </c>
      <c r="H108" s="94" t="e">
        <f t="shared" ca="1" si="47"/>
        <v>#N/A</v>
      </c>
      <c r="I108" s="161" t="e">
        <f t="shared" ca="1" si="15"/>
        <v>#N/A</v>
      </c>
      <c r="J108" s="156" t="e">
        <f t="shared" ca="1" si="33"/>
        <v>#N/A</v>
      </c>
      <c r="K108" s="160" t="e">
        <f t="shared" ca="1" si="16"/>
        <v>#N/A</v>
      </c>
      <c r="L108" s="101" t="e">
        <f t="shared" ca="1" si="48"/>
        <v>#N/A</v>
      </c>
      <c r="M108" s="101" t="e">
        <f t="shared" ca="1" si="49"/>
        <v>#N/A</v>
      </c>
      <c r="N108" s="101" t="e">
        <f t="shared" ca="1" si="18"/>
        <v>#N/A</v>
      </c>
      <c r="O108" s="285">
        <f t="shared" si="50"/>
        <v>0.99960202226150963</v>
      </c>
      <c r="P108" s="891">
        <f t="shared" si="34"/>
        <v>4.8791487279764567E-5</v>
      </c>
      <c r="Q108" s="99">
        <f t="shared" si="35"/>
        <v>0.99960202226150963</v>
      </c>
      <c r="R108" s="99" t="e">
        <f t="shared" ca="1" si="51"/>
        <v>#N/A</v>
      </c>
      <c r="S108" s="161" t="e">
        <f t="shared" ca="1" si="19"/>
        <v>#N/A</v>
      </c>
      <c r="T108" s="286" t="e">
        <f t="shared" ca="1" si="20"/>
        <v>#N/A</v>
      </c>
      <c r="U108" s="285">
        <f t="shared" si="52"/>
        <v>0.99999883078422958</v>
      </c>
      <c r="V108" s="891">
        <f t="shared" si="36"/>
        <v>2.4790301800248216E-7</v>
      </c>
      <c r="W108" s="99">
        <f t="shared" si="37"/>
        <v>0.99999883078422958</v>
      </c>
      <c r="X108" s="99" t="e">
        <f t="shared" ca="1" si="21"/>
        <v>#N/A</v>
      </c>
      <c r="Y108" s="161" t="e">
        <f t="shared" ca="1" si="22"/>
        <v>#N/A</v>
      </c>
      <c r="Z108" s="286" t="e">
        <f t="shared" ca="1" si="23"/>
        <v>#N/A</v>
      </c>
      <c r="AA108" s="285">
        <f t="shared" si="53"/>
        <v>0.97824722756596616</v>
      </c>
      <c r="AB108" s="891">
        <f t="shared" si="38"/>
        <v>1.2898513933554678E-3</v>
      </c>
      <c r="AC108" s="99">
        <f t="shared" si="39"/>
        <v>0.97824722756596616</v>
      </c>
      <c r="AD108" s="99" t="e">
        <f t="shared" ca="1" si="24"/>
        <v>#N/A</v>
      </c>
      <c r="AE108" s="161" t="e">
        <f t="shared" ca="1" si="25"/>
        <v>#N/A</v>
      </c>
      <c r="AF108" s="286" t="e">
        <f t="shared" ca="1" si="26"/>
        <v>#N/A</v>
      </c>
      <c r="AG108" s="285">
        <f t="shared" si="54"/>
        <v>0.99662644210895346</v>
      </c>
      <c r="AH108" s="891">
        <f t="shared" si="46"/>
        <v>3.1533997370447597E-4</v>
      </c>
      <c r="AI108" s="99">
        <f t="shared" si="40"/>
        <v>0.99662644210895346</v>
      </c>
      <c r="AJ108" s="99" t="e">
        <f t="shared" ca="1" si="55"/>
        <v>#N/A</v>
      </c>
      <c r="AK108" s="161" t="e">
        <f t="shared" ca="1" si="27"/>
        <v>#N/A</v>
      </c>
      <c r="AL108" s="286" t="e">
        <f t="shared" ca="1" si="56"/>
        <v>#N/A</v>
      </c>
      <c r="AM108" s="285">
        <f t="shared" si="57"/>
        <v>0.99675590119782953</v>
      </c>
      <c r="AN108" s="891">
        <f t="shared" si="41"/>
        <v>3.2197115452714531E-4</v>
      </c>
      <c r="AO108" s="99">
        <f t="shared" si="42"/>
        <v>0.99675590119782953</v>
      </c>
      <c r="AP108" s="99" t="e">
        <f t="shared" ca="1" si="58"/>
        <v>#N/A</v>
      </c>
      <c r="AQ108" s="161" t="e">
        <f t="shared" ca="1" si="29"/>
        <v>#N/A</v>
      </c>
      <c r="AR108" s="286" t="e">
        <f t="shared" ca="1" si="59"/>
        <v>#N/A</v>
      </c>
      <c r="AS108" s="285">
        <f t="shared" si="60"/>
        <v>0.99902539956881975</v>
      </c>
      <c r="AT108" s="891">
        <f t="shared" si="43"/>
        <v>1.0528796096298532E-4</v>
      </c>
      <c r="AU108" s="99">
        <f t="shared" si="44"/>
        <v>0.99902539956881975</v>
      </c>
      <c r="AV108" s="99" t="e">
        <f t="shared" ca="1" si="30"/>
        <v>#N/A</v>
      </c>
      <c r="AW108" s="161" t="e">
        <f t="shared" ca="1" si="31"/>
        <v>#N/A</v>
      </c>
      <c r="AX108" s="286" t="e">
        <f t="shared" ca="1" si="61"/>
        <v>#N/A</v>
      </c>
    </row>
    <row r="109" spans="2:53" x14ac:dyDescent="0.25">
      <c r="B109" s="104">
        <f t="shared" si="32"/>
        <v>52</v>
      </c>
      <c r="C109" s="94">
        <v>53</v>
      </c>
      <c r="D109" s="94">
        <f t="shared" si="12"/>
        <v>0.99964503812063998</v>
      </c>
      <c r="E109" s="94">
        <f t="shared" si="45"/>
        <v>4.3015859130357548E-5</v>
      </c>
      <c r="F109" s="94" t="e">
        <f ca="1">IF(AND(H109=0,SUM(H109:H$116)&gt;0),0.0001,H109)</f>
        <v>#N/A</v>
      </c>
      <c r="G109" s="94" t="e">
        <f t="shared" ca="1" si="13"/>
        <v>#N/A</v>
      </c>
      <c r="H109" s="94" t="e">
        <f t="shared" ca="1" si="47"/>
        <v>#N/A</v>
      </c>
      <c r="I109" s="161" t="e">
        <f t="shared" ca="1" si="15"/>
        <v>#N/A</v>
      </c>
      <c r="J109" s="156" t="e">
        <f t="shared" ca="1" si="33"/>
        <v>#N/A</v>
      </c>
      <c r="K109" s="160" t="e">
        <f t="shared" ca="1" si="16"/>
        <v>#N/A</v>
      </c>
      <c r="L109" s="101" t="e">
        <f t="shared" ca="1" si="48"/>
        <v>#N/A</v>
      </c>
      <c r="M109" s="101" t="e">
        <f t="shared" ca="1" si="49"/>
        <v>#N/A</v>
      </c>
      <c r="N109" s="101" t="e">
        <f t="shared" ca="1" si="18"/>
        <v>#N/A</v>
      </c>
      <c r="O109" s="285">
        <f t="shared" si="50"/>
        <v>0.99964503812063998</v>
      </c>
      <c r="P109" s="891">
        <f t="shared" si="34"/>
        <v>4.3015859130357548E-5</v>
      </c>
      <c r="Q109" s="99">
        <f t="shared" si="35"/>
        <v>0.99964503812063998</v>
      </c>
      <c r="R109" s="99" t="e">
        <f t="shared" ca="1" si="51"/>
        <v>#N/A</v>
      </c>
      <c r="S109" s="161" t="e">
        <f t="shared" ca="1" si="19"/>
        <v>#N/A</v>
      </c>
      <c r="T109" s="286" t="e">
        <f t="shared" ca="1" si="20"/>
        <v>#N/A</v>
      </c>
      <c r="U109" s="285">
        <f t="shared" si="52"/>
        <v>0.99999903317677441</v>
      </c>
      <c r="V109" s="891">
        <f t="shared" si="36"/>
        <v>2.0239254483467306E-7</v>
      </c>
      <c r="W109" s="99">
        <f t="shared" si="37"/>
        <v>0.99999903317677441</v>
      </c>
      <c r="X109" s="99" t="e">
        <f t="shared" ca="1" si="21"/>
        <v>#N/A</v>
      </c>
      <c r="Y109" s="161" t="e">
        <f t="shared" ca="1" si="22"/>
        <v>#N/A</v>
      </c>
      <c r="Z109" s="286" t="e">
        <f t="shared" ca="1" si="23"/>
        <v>#N/A</v>
      </c>
      <c r="AA109" s="285">
        <f t="shared" si="53"/>
        <v>0.9794527131352625</v>
      </c>
      <c r="AB109" s="891">
        <f t="shared" si="38"/>
        <v>1.2054855692963384E-3</v>
      </c>
      <c r="AC109" s="99">
        <f t="shared" si="39"/>
        <v>0.9794527131352625</v>
      </c>
      <c r="AD109" s="99" t="e">
        <f t="shared" ca="1" si="24"/>
        <v>#N/A</v>
      </c>
      <c r="AE109" s="161" t="e">
        <f t="shared" ca="1" si="25"/>
        <v>#N/A</v>
      </c>
      <c r="AF109" s="286" t="e">
        <f t="shared" ca="1" si="26"/>
        <v>#N/A</v>
      </c>
      <c r="AG109" s="285">
        <f t="shared" si="54"/>
        <v>0.9969120174256263</v>
      </c>
      <c r="AH109" s="891">
        <f t="shared" si="46"/>
        <v>2.8557531667283698E-4</v>
      </c>
      <c r="AI109" s="99">
        <f t="shared" si="40"/>
        <v>0.9969120174256263</v>
      </c>
      <c r="AJ109" s="99" t="e">
        <f t="shared" ca="1" si="55"/>
        <v>#N/A</v>
      </c>
      <c r="AK109" s="161" t="e">
        <f t="shared" ca="1" si="27"/>
        <v>#N/A</v>
      </c>
      <c r="AL109" s="286" t="e">
        <f t="shared" ca="1" si="56"/>
        <v>#N/A</v>
      </c>
      <c r="AM109" s="285">
        <f t="shared" si="57"/>
        <v>0.99704608572562348</v>
      </c>
      <c r="AN109" s="891">
        <f t="shared" si="41"/>
        <v>2.9018452779394632E-4</v>
      </c>
      <c r="AO109" s="99">
        <f t="shared" si="42"/>
        <v>0.99704608572562348</v>
      </c>
      <c r="AP109" s="99" t="e">
        <f t="shared" ca="1" si="58"/>
        <v>#N/A</v>
      </c>
      <c r="AQ109" s="161" t="e">
        <f t="shared" ca="1" si="29"/>
        <v>#N/A</v>
      </c>
      <c r="AR109" s="286" t="e">
        <f t="shared" ca="1" si="59"/>
        <v>#N/A</v>
      </c>
      <c r="AS109" s="285">
        <f t="shared" si="60"/>
        <v>0.99911944552829457</v>
      </c>
      <c r="AT109" s="891">
        <f t="shared" si="43"/>
        <v>9.4045959474819973E-5</v>
      </c>
      <c r="AU109" s="99">
        <f t="shared" si="44"/>
        <v>0.99911944552829457</v>
      </c>
      <c r="AV109" s="99" t="e">
        <f t="shared" ca="1" si="30"/>
        <v>#N/A</v>
      </c>
      <c r="AW109" s="161" t="e">
        <f t="shared" ca="1" si="31"/>
        <v>#N/A</v>
      </c>
      <c r="AX109" s="286" t="e">
        <f t="shared" ca="1" si="61"/>
        <v>#N/A</v>
      </c>
    </row>
    <row r="110" spans="2:53" x14ac:dyDescent="0.25">
      <c r="B110" s="104">
        <f t="shared" si="32"/>
        <v>53</v>
      </c>
      <c r="C110" s="94">
        <v>54</v>
      </c>
      <c r="D110" s="94">
        <f t="shared" si="12"/>
        <v>0.99968301490929601</v>
      </c>
      <c r="E110" s="94">
        <f t="shared" si="45"/>
        <v>3.7976788656024496E-5</v>
      </c>
      <c r="F110" s="94" t="e">
        <f ca="1">IF(AND(H110=0,SUM(H110:H$116)&gt;0),0.0001,H110)</f>
        <v>#N/A</v>
      </c>
      <c r="G110" s="94" t="e">
        <f t="shared" ca="1" si="13"/>
        <v>#N/A</v>
      </c>
      <c r="H110" s="94" t="e">
        <f t="shared" ca="1" si="47"/>
        <v>#N/A</v>
      </c>
      <c r="I110" s="161" t="e">
        <f t="shared" ca="1" si="15"/>
        <v>#N/A</v>
      </c>
      <c r="J110" s="156" t="e">
        <f t="shared" ca="1" si="33"/>
        <v>#N/A</v>
      </c>
      <c r="K110" s="160" t="e">
        <f t="shared" ca="1" si="16"/>
        <v>#N/A</v>
      </c>
      <c r="L110" s="101" t="e">
        <f t="shared" ca="1" si="48"/>
        <v>#N/A</v>
      </c>
      <c r="M110" s="101" t="e">
        <f t="shared" ca="1" si="49"/>
        <v>#N/A</v>
      </c>
      <c r="N110" s="101" t="e">
        <f t="shared" ca="1" si="18"/>
        <v>#N/A</v>
      </c>
      <c r="O110" s="285">
        <f t="shared" si="50"/>
        <v>0.99968301490929601</v>
      </c>
      <c r="P110" s="891">
        <f t="shared" si="34"/>
        <v>3.7976788656024496E-5</v>
      </c>
      <c r="Q110" s="99">
        <f t="shared" si="35"/>
        <v>0.99968301490929601</v>
      </c>
      <c r="R110" s="99" t="e">
        <f t="shared" ca="1" si="51"/>
        <v>#N/A</v>
      </c>
      <c r="S110" s="161" t="e">
        <f t="shared" ca="1" si="19"/>
        <v>#N/A</v>
      </c>
      <c r="T110" s="286" t="e">
        <f t="shared" ca="1" si="20"/>
        <v>#N/A</v>
      </c>
      <c r="U110" s="285">
        <f t="shared" si="52"/>
        <v>0.99999919880402677</v>
      </c>
      <c r="V110" s="891">
        <f>U110-U109</f>
        <v>1.656272523575808E-7</v>
      </c>
      <c r="W110" s="99">
        <f t="shared" si="37"/>
        <v>0.99999919880402677</v>
      </c>
      <c r="X110" s="99" t="e">
        <f t="shared" ca="1" si="21"/>
        <v>#N/A</v>
      </c>
      <c r="Y110" s="161" t="e">
        <f t="shared" ca="1" si="22"/>
        <v>#N/A</v>
      </c>
      <c r="Z110" s="286" t="e">
        <f t="shared" ca="1" si="23"/>
        <v>#N/A</v>
      </c>
      <c r="AA110" s="285">
        <f t="shared" si="53"/>
        <v>0.98058015982529279</v>
      </c>
      <c r="AB110" s="891">
        <f t="shared" si="38"/>
        <v>1.1274466900302871E-3</v>
      </c>
      <c r="AC110" s="99">
        <f t="shared" si="39"/>
        <v>0.98058015982529279</v>
      </c>
      <c r="AD110" s="99" t="e">
        <f t="shared" ca="1" si="24"/>
        <v>#N/A</v>
      </c>
      <c r="AE110" s="161" t="e">
        <f t="shared" ca="1" si="25"/>
        <v>#N/A</v>
      </c>
      <c r="AF110" s="286" t="e">
        <f t="shared" ca="1" si="26"/>
        <v>#N/A</v>
      </c>
      <c r="AG110" s="285">
        <f t="shared" si="54"/>
        <v>0.99717090286039278</v>
      </c>
      <c r="AH110" s="891">
        <f t="shared" si="46"/>
        <v>2.5888543476648707E-4</v>
      </c>
      <c r="AI110" s="99">
        <f t="shared" si="40"/>
        <v>0.99717090286039278</v>
      </c>
      <c r="AJ110" s="99" t="e">
        <f t="shared" ca="1" si="55"/>
        <v>#N/A</v>
      </c>
      <c r="AK110" s="161" t="e">
        <f t="shared" ca="1" si="27"/>
        <v>#N/A</v>
      </c>
      <c r="AL110" s="286" t="e">
        <f t="shared" ca="1" si="56"/>
        <v>#N/A</v>
      </c>
      <c r="AM110" s="285">
        <f t="shared" si="57"/>
        <v>0.99730788874683074</v>
      </c>
      <c r="AN110" s="891">
        <f t="shared" si="41"/>
        <v>2.6180302120726306E-4</v>
      </c>
      <c r="AO110" s="99">
        <f t="shared" si="42"/>
        <v>0.99730788874683074</v>
      </c>
      <c r="AP110" s="99" t="e">
        <f t="shared" ca="1" si="58"/>
        <v>#N/A</v>
      </c>
      <c r="AQ110" s="161" t="e">
        <f t="shared" ca="1" si="29"/>
        <v>#N/A</v>
      </c>
      <c r="AR110" s="286" t="e">
        <f t="shared" ca="1" si="59"/>
        <v>#N/A</v>
      </c>
      <c r="AS110" s="285">
        <f t="shared" si="60"/>
        <v>0.99920355425289575</v>
      </c>
      <c r="AT110" s="891">
        <f t="shared" si="43"/>
        <v>8.4108724601184015E-5</v>
      </c>
      <c r="AU110" s="99">
        <f t="shared" si="44"/>
        <v>0.99920355425289575</v>
      </c>
      <c r="AV110" s="99" t="e">
        <f t="shared" ca="1" si="30"/>
        <v>#N/A</v>
      </c>
      <c r="AW110" s="161" t="e">
        <f t="shared" ca="1" si="31"/>
        <v>#N/A</v>
      </c>
      <c r="AX110" s="286" t="e">
        <f t="shared" ca="1" si="61"/>
        <v>#N/A</v>
      </c>
    </row>
    <row r="111" spans="2:53" x14ac:dyDescent="0.25">
      <c r="B111" s="104">
        <f t="shared" si="32"/>
        <v>54</v>
      </c>
      <c r="C111" s="94">
        <v>55</v>
      </c>
      <c r="D111" s="94">
        <f t="shared" si="12"/>
        <v>0.99971658854658441</v>
      </c>
      <c r="E111" s="94">
        <f t="shared" si="45"/>
        <v>3.3573637288397684E-5</v>
      </c>
      <c r="F111" s="94" t="e">
        <f ca="1">IF(AND(H111=0,SUM(H111:H$116)&gt;0),0.0001,H111)</f>
        <v>#N/A</v>
      </c>
      <c r="G111" s="94" t="e">
        <f t="shared" ca="1" si="13"/>
        <v>#N/A</v>
      </c>
      <c r="H111" s="94" t="e">
        <f t="shared" ca="1" si="47"/>
        <v>#N/A</v>
      </c>
      <c r="I111" s="161" t="e">
        <f t="shared" ca="1" si="15"/>
        <v>#N/A</v>
      </c>
      <c r="J111" s="156" t="e">
        <f t="shared" ca="1" si="33"/>
        <v>#N/A</v>
      </c>
      <c r="K111" s="160" t="e">
        <f t="shared" ca="1" si="16"/>
        <v>#N/A</v>
      </c>
      <c r="L111" s="101" t="e">
        <f t="shared" ca="1" si="48"/>
        <v>#N/A</v>
      </c>
      <c r="M111" s="101" t="e">
        <f t="shared" ca="1" si="49"/>
        <v>#N/A</v>
      </c>
      <c r="N111" s="101" t="e">
        <f t="shared" ca="1" si="18"/>
        <v>#N/A</v>
      </c>
      <c r="O111" s="285">
        <f t="shared" si="50"/>
        <v>0.99971658854658441</v>
      </c>
      <c r="P111" s="891">
        <f t="shared" si="34"/>
        <v>3.3573637288397684E-5</v>
      </c>
      <c r="Q111" s="99">
        <f t="shared" si="35"/>
        <v>0.99971658854658441</v>
      </c>
      <c r="R111" s="99" t="e">
        <f t="shared" ca="1" si="51"/>
        <v>#N/A</v>
      </c>
      <c r="S111" s="161" t="e">
        <f t="shared" ca="1" si="19"/>
        <v>#N/A</v>
      </c>
      <c r="T111" s="286" t="e">
        <f t="shared" ca="1" si="20"/>
        <v>#N/A</v>
      </c>
      <c r="U111" s="285">
        <f t="shared" si="52"/>
        <v>0.99999933465645841</v>
      </c>
      <c r="V111" s="891">
        <f t="shared" si="36"/>
        <v>1.3585243163749539E-7</v>
      </c>
      <c r="W111" s="99">
        <f t="shared" si="37"/>
        <v>0.99999933465645841</v>
      </c>
      <c r="X111" s="99" t="e">
        <f t="shared" ca="1" si="21"/>
        <v>#N/A</v>
      </c>
      <c r="Y111" s="161" t="e">
        <f t="shared" ca="1" si="22"/>
        <v>#N/A</v>
      </c>
      <c r="Z111" s="286" t="e">
        <f t="shared" ca="1" si="23"/>
        <v>#N/A</v>
      </c>
      <c r="AA111" s="285">
        <f t="shared" si="53"/>
        <v>0.98163535934824964</v>
      </c>
      <c r="AB111" s="891">
        <f t="shared" si="38"/>
        <v>1.0551995229568512E-3</v>
      </c>
      <c r="AC111" s="99">
        <f t="shared" si="39"/>
        <v>0.98163535934824964</v>
      </c>
      <c r="AD111" s="99" t="e">
        <f t="shared" ca="1" si="24"/>
        <v>#N/A</v>
      </c>
      <c r="AE111" s="161" t="e">
        <f t="shared" ca="1" si="25"/>
        <v>#N/A</v>
      </c>
      <c r="AF111" s="286" t="e">
        <f t="shared" ca="1" si="26"/>
        <v>#N/A</v>
      </c>
      <c r="AG111" s="285">
        <f t="shared" si="54"/>
        <v>0.99740582833912006</v>
      </c>
      <c r="AH111" s="891">
        <f t="shared" si="46"/>
        <v>2.3492547872727698E-4</v>
      </c>
      <c r="AI111" s="99">
        <f t="shared" si="40"/>
        <v>0.99740582833912006</v>
      </c>
      <c r="AJ111" s="99" t="e">
        <f t="shared" ca="1" si="55"/>
        <v>#N/A</v>
      </c>
      <c r="AK111" s="161" t="e">
        <f t="shared" ca="1" si="27"/>
        <v>#N/A</v>
      </c>
      <c r="AL111" s="286" t="e">
        <f t="shared" ca="1" si="56"/>
        <v>#N/A</v>
      </c>
      <c r="AM111" s="285">
        <f t="shared" si="57"/>
        <v>0.997544322379885</v>
      </c>
      <c r="AN111" s="891">
        <f t="shared" si="41"/>
        <v>2.3643363305425602E-4</v>
      </c>
      <c r="AO111" s="99">
        <f t="shared" si="42"/>
        <v>0.997544322379885</v>
      </c>
      <c r="AP111" s="99" t="e">
        <f t="shared" ca="1" si="58"/>
        <v>#N/A</v>
      </c>
      <c r="AQ111" s="161" t="e">
        <f t="shared" ca="1" si="29"/>
        <v>#N/A</v>
      </c>
      <c r="AR111" s="286" t="e">
        <f t="shared" ca="1" si="59"/>
        <v>#N/A</v>
      </c>
      <c r="AS111" s="285">
        <f t="shared" si="60"/>
        <v>0.99927886700707269</v>
      </c>
      <c r="AT111" s="891">
        <f t="shared" si="43"/>
        <v>7.5312754176937169E-5</v>
      </c>
      <c r="AU111" s="99">
        <f t="shared" si="44"/>
        <v>0.99927886700707269</v>
      </c>
      <c r="AV111" s="99" t="e">
        <f t="shared" ca="1" si="30"/>
        <v>#N/A</v>
      </c>
      <c r="AW111" s="161" t="e">
        <f t="shared" ca="1" si="31"/>
        <v>#N/A</v>
      </c>
      <c r="AX111" s="286" t="e">
        <f t="shared" ca="1" si="61"/>
        <v>#N/A</v>
      </c>
    </row>
    <row r="112" spans="2:53" x14ac:dyDescent="0.25">
      <c r="B112" s="104">
        <f t="shared" si="32"/>
        <v>55</v>
      </c>
      <c r="C112" s="94">
        <v>56</v>
      </c>
      <c r="D112" s="94">
        <f t="shared" si="12"/>
        <v>0.99974630897129158</v>
      </c>
      <c r="E112" s="94">
        <f t="shared" si="45"/>
        <v>2.972042470716918E-5</v>
      </c>
      <c r="F112" s="94" t="e">
        <f ca="1">IF(AND(H112=0,SUM(H112:H$116)&gt;0),0.0001,H112)</f>
        <v>#N/A</v>
      </c>
      <c r="G112" s="94" t="e">
        <f t="shared" ca="1" si="13"/>
        <v>#N/A</v>
      </c>
      <c r="H112" s="94" t="e">
        <f t="shared" ca="1" si="47"/>
        <v>#N/A</v>
      </c>
      <c r="I112" s="161" t="e">
        <f t="shared" ca="1" si="15"/>
        <v>#N/A</v>
      </c>
      <c r="J112" s="156" t="e">
        <f t="shared" ca="1" si="33"/>
        <v>#N/A</v>
      </c>
      <c r="K112" s="160" t="e">
        <f t="shared" ca="1" si="16"/>
        <v>#N/A</v>
      </c>
      <c r="L112" s="101" t="e">
        <f t="shared" ca="1" si="48"/>
        <v>#N/A</v>
      </c>
      <c r="M112" s="101" t="e">
        <f t="shared" ca="1" si="49"/>
        <v>#N/A</v>
      </c>
      <c r="N112" s="101" t="e">
        <f t="shared" ca="1" si="18"/>
        <v>#N/A</v>
      </c>
      <c r="O112" s="285">
        <f t="shared" si="50"/>
        <v>0.99974630897129158</v>
      </c>
      <c r="P112" s="891">
        <f t="shared" si="34"/>
        <v>2.972042470716918E-5</v>
      </c>
      <c r="Q112" s="99">
        <f t="shared" si="35"/>
        <v>0.99974630897129158</v>
      </c>
      <c r="R112" s="99" t="e">
        <f t="shared" ca="1" si="51"/>
        <v>#N/A</v>
      </c>
      <c r="S112" s="161" t="e">
        <f t="shared" ca="1" si="19"/>
        <v>#N/A</v>
      </c>
      <c r="T112" s="286" t="e">
        <f t="shared" ca="1" si="20"/>
        <v>#N/A</v>
      </c>
      <c r="U112" s="285">
        <f t="shared" si="52"/>
        <v>0.99999944633664295</v>
      </c>
      <c r="V112" s="891">
        <f t="shared" si="36"/>
        <v>1.1168018454466022E-7</v>
      </c>
      <c r="W112" s="99">
        <f t="shared" si="37"/>
        <v>0.99999944633664295</v>
      </c>
      <c r="X112" s="99" t="e">
        <f t="shared" ca="1" si="21"/>
        <v>#N/A</v>
      </c>
      <c r="Y112" s="161" t="e">
        <f t="shared" ca="1" si="22"/>
        <v>#N/A</v>
      </c>
      <c r="Z112" s="286" t="e">
        <f t="shared" ca="1" si="23"/>
        <v>#N/A</v>
      </c>
      <c r="AA112" s="285">
        <f t="shared" si="53"/>
        <v>0.982623618538635</v>
      </c>
      <c r="AB112" s="891">
        <f t="shared" si="38"/>
        <v>9.8825919038536547E-4</v>
      </c>
      <c r="AC112" s="99">
        <f t="shared" si="39"/>
        <v>0.982623618538635</v>
      </c>
      <c r="AD112" s="99" t="e">
        <f t="shared" ca="1" si="24"/>
        <v>#N/A</v>
      </c>
      <c r="AE112" s="161" t="e">
        <f t="shared" ca="1" si="25"/>
        <v>#N/A</v>
      </c>
      <c r="AF112" s="286" t="e">
        <f t="shared" ca="1" si="26"/>
        <v>#N/A</v>
      </c>
      <c r="AG112" s="285">
        <f t="shared" si="54"/>
        <v>0.99761922062208441</v>
      </c>
      <c r="AH112" s="891">
        <f t="shared" si="46"/>
        <v>2.1339228296435309E-4</v>
      </c>
      <c r="AI112" s="99">
        <f t="shared" si="40"/>
        <v>0.99761922062208441</v>
      </c>
      <c r="AJ112" s="99" t="e">
        <f t="shared" ca="1" si="55"/>
        <v>#N/A</v>
      </c>
      <c r="AK112" s="161" t="e">
        <f t="shared" ca="1" si="27"/>
        <v>#N/A</v>
      </c>
      <c r="AL112" s="286" t="e">
        <f t="shared" ca="1" si="56"/>
        <v>#N/A</v>
      </c>
      <c r="AM112" s="285">
        <f t="shared" si="57"/>
        <v>0.99775805428688258</v>
      </c>
      <c r="AN112" s="891">
        <f t="shared" si="41"/>
        <v>2.1373190699758293E-4</v>
      </c>
      <c r="AO112" s="99">
        <f t="shared" si="42"/>
        <v>0.99775805428688258</v>
      </c>
      <c r="AP112" s="99" t="e">
        <f t="shared" ca="1" si="58"/>
        <v>#N/A</v>
      </c>
      <c r="AQ112" s="161" t="e">
        <f t="shared" ca="1" si="29"/>
        <v>#N/A</v>
      </c>
      <c r="AR112" s="286" t="e">
        <f t="shared" ca="1" si="59"/>
        <v>#N/A</v>
      </c>
      <c r="AS112" s="285">
        <f t="shared" si="60"/>
        <v>0.99934638354032723</v>
      </c>
      <c r="AT112" s="891">
        <f t="shared" si="43"/>
        <v>6.7516533254541322E-5</v>
      </c>
      <c r="AU112" s="99">
        <f t="shared" si="44"/>
        <v>0.99934638354032723</v>
      </c>
      <c r="AV112" s="99" t="e">
        <f t="shared" ca="1" si="30"/>
        <v>#N/A</v>
      </c>
      <c r="AW112" s="161" t="e">
        <f t="shared" ca="1" si="31"/>
        <v>#N/A</v>
      </c>
      <c r="AX112" s="286" t="e">
        <f t="shared" ca="1" si="61"/>
        <v>#N/A</v>
      </c>
      <c r="BA112" s="92"/>
    </row>
    <row r="113" spans="2:79" x14ac:dyDescent="0.25">
      <c r="B113" s="104">
        <f t="shared" si="32"/>
        <v>56</v>
      </c>
      <c r="C113" s="94">
        <v>57</v>
      </c>
      <c r="D113" s="94">
        <f t="shared" si="12"/>
        <v>0.99977265253467618</v>
      </c>
      <c r="E113" s="94">
        <f t="shared" si="45"/>
        <v>2.6343563384600976E-5</v>
      </c>
      <c r="F113" s="94" t="e">
        <f ca="1">IF(AND(H113=0,SUM(H113:H$116)&gt;0),0.0001,H113)</f>
        <v>#N/A</v>
      </c>
      <c r="G113" s="94" t="e">
        <f t="shared" ca="1" si="13"/>
        <v>#N/A</v>
      </c>
      <c r="H113" s="94" t="e">
        <f t="shared" ca="1" si="47"/>
        <v>#N/A</v>
      </c>
      <c r="I113" s="161" t="e">
        <f t="shared" ca="1" si="15"/>
        <v>#N/A</v>
      </c>
      <c r="J113" s="156" t="e">
        <f t="shared" ca="1" si="33"/>
        <v>#N/A</v>
      </c>
      <c r="K113" s="160" t="e">
        <f t="shared" ca="1" si="16"/>
        <v>#N/A</v>
      </c>
      <c r="L113" s="101" t="e">
        <f t="shared" ca="1" si="48"/>
        <v>#N/A</v>
      </c>
      <c r="M113" s="101" t="e">
        <f t="shared" ca="1" si="49"/>
        <v>#N/A</v>
      </c>
      <c r="N113" s="101" t="e">
        <f t="shared" ca="1" si="18"/>
        <v>#N/A</v>
      </c>
      <c r="O113" s="285">
        <f t="shared" si="50"/>
        <v>0.99977265253467618</v>
      </c>
      <c r="P113" s="891">
        <f t="shared" si="34"/>
        <v>2.6343563384600976E-5</v>
      </c>
      <c r="Q113" s="99">
        <f t="shared" si="35"/>
        <v>0.99977265253467618</v>
      </c>
      <c r="R113" s="99" t="e">
        <f t="shared" ca="1" si="51"/>
        <v>#N/A</v>
      </c>
      <c r="S113" s="161" t="e">
        <f t="shared" ca="1" si="19"/>
        <v>#N/A</v>
      </c>
      <c r="T113" s="286" t="e">
        <f t="shared" ca="1" si="20"/>
        <v>#N/A</v>
      </c>
      <c r="U113" s="285">
        <f t="shared" si="52"/>
        <v>0.99999953834634681</v>
      </c>
      <c r="V113" s="891">
        <f t="shared" si="36"/>
        <v>9.2009703855921998E-8</v>
      </c>
      <c r="W113" s="99">
        <f t="shared" si="37"/>
        <v>0.99999953834634681</v>
      </c>
      <c r="X113" s="99" t="e">
        <f t="shared" ca="1" si="21"/>
        <v>#N/A</v>
      </c>
      <c r="Y113" s="161" t="e">
        <f t="shared" ca="1" si="22"/>
        <v>#N/A</v>
      </c>
      <c r="Z113" s="286" t="e">
        <f t="shared" ca="1" si="23"/>
        <v>#N/A</v>
      </c>
      <c r="AA113" s="285">
        <f t="shared" si="53"/>
        <v>0.98354980450558904</v>
      </c>
      <c r="AB113" s="891">
        <f t="shared" si="38"/>
        <v>9.2618596695404065E-4</v>
      </c>
      <c r="AC113" s="99">
        <f t="shared" si="39"/>
        <v>0.98354980450558904</v>
      </c>
      <c r="AD113" s="99" t="e">
        <f t="shared" ca="1" si="24"/>
        <v>#N/A</v>
      </c>
      <c r="AE113" s="161" t="e">
        <f t="shared" ca="1" si="25"/>
        <v>#N/A</v>
      </c>
      <c r="AF113" s="286" t="e">
        <f t="shared" ca="1" si="26"/>
        <v>#N/A</v>
      </c>
      <c r="AG113" s="285">
        <f t="shared" si="54"/>
        <v>0.9978132395939282</v>
      </c>
      <c r="AH113" s="891">
        <f t="shared" si="46"/>
        <v>1.9401897184379013E-4</v>
      </c>
      <c r="AI113" s="99">
        <f t="shared" si="40"/>
        <v>0.9978132395939282</v>
      </c>
      <c r="AJ113" s="99" t="e">
        <f t="shared" ca="1" si="55"/>
        <v>#N/A</v>
      </c>
      <c r="AK113" s="161" t="e">
        <f t="shared" ca="1" si="27"/>
        <v>#N/A</v>
      </c>
      <c r="AL113" s="286" t="e">
        <f t="shared" ca="1" si="56"/>
        <v>#N/A</v>
      </c>
      <c r="AM113" s="285">
        <f t="shared" si="57"/>
        <v>0.99795144984132533</v>
      </c>
      <c r="AN113" s="891">
        <f t="shared" si="41"/>
        <v>1.9339555444275458E-4</v>
      </c>
      <c r="AO113" s="99">
        <f t="shared" si="42"/>
        <v>0.99795144984132533</v>
      </c>
      <c r="AP113" s="99" t="e">
        <f t="shared" ca="1" si="58"/>
        <v>#N/A</v>
      </c>
      <c r="AQ113" s="161" t="e">
        <f t="shared" ca="1" si="29"/>
        <v>#N/A</v>
      </c>
      <c r="AR113" s="286" t="e">
        <f t="shared" ca="1" si="59"/>
        <v>#N/A</v>
      </c>
      <c r="AS113" s="285">
        <f t="shared" si="60"/>
        <v>0.99940698091893532</v>
      </c>
      <c r="AT113" s="891">
        <f t="shared" si="43"/>
        <v>6.0597378608084895E-5</v>
      </c>
      <c r="AU113" s="99">
        <f t="shared" si="44"/>
        <v>0.99940698091893532</v>
      </c>
      <c r="AV113" s="99" t="e">
        <f t="shared" ca="1" si="30"/>
        <v>#N/A</v>
      </c>
      <c r="AW113" s="161" t="e">
        <f t="shared" ca="1" si="31"/>
        <v>#N/A</v>
      </c>
      <c r="AX113" s="286" t="e">
        <f t="shared" ca="1" si="61"/>
        <v>#N/A</v>
      </c>
    </row>
    <row r="114" spans="2:79" x14ac:dyDescent="0.25">
      <c r="B114" s="104">
        <f t="shared" si="32"/>
        <v>57</v>
      </c>
      <c r="C114" s="94">
        <v>58</v>
      </c>
      <c r="D114" s="94">
        <f t="shared" si="12"/>
        <v>0.99979603249775684</v>
      </c>
      <c r="E114" s="94">
        <f t="shared" si="45"/>
        <v>2.3379963080660815E-5</v>
      </c>
      <c r="F114" s="94" t="e">
        <f ca="1">IF(AND(H114=0,SUM(H114:H$116)&gt;0),0.0001,H114)</f>
        <v>#N/A</v>
      </c>
      <c r="G114" s="94" t="e">
        <f t="shared" ca="1" si="13"/>
        <v>#N/A</v>
      </c>
      <c r="H114" s="94" t="e">
        <f t="shared" ca="1" si="47"/>
        <v>#N/A</v>
      </c>
      <c r="I114" s="161" t="e">
        <f t="shared" ca="1" si="15"/>
        <v>#N/A</v>
      </c>
      <c r="J114" s="156" t="e">
        <f t="shared" ca="1" si="33"/>
        <v>#N/A</v>
      </c>
      <c r="K114" s="160" t="e">
        <f t="shared" ca="1" si="16"/>
        <v>#N/A</v>
      </c>
      <c r="L114" s="101" t="e">
        <f t="shared" ca="1" si="48"/>
        <v>#N/A</v>
      </c>
      <c r="M114" s="101" t="e">
        <f t="shared" ca="1" si="49"/>
        <v>#N/A</v>
      </c>
      <c r="N114" s="101" t="e">
        <f t="shared" ca="1" si="18"/>
        <v>#N/A</v>
      </c>
      <c r="O114" s="285">
        <f t="shared" si="50"/>
        <v>0.99979603249775684</v>
      </c>
      <c r="P114" s="891">
        <f t="shared" si="34"/>
        <v>2.3379963080660815E-5</v>
      </c>
      <c r="Q114" s="99">
        <f t="shared" si="35"/>
        <v>0.99979603249775684</v>
      </c>
      <c r="R114" s="99" t="e">
        <f t="shared" ca="1" si="51"/>
        <v>#N/A</v>
      </c>
      <c r="S114" s="161" t="e">
        <f t="shared" ca="1" si="19"/>
        <v>#N/A</v>
      </c>
      <c r="T114" s="286" t="e">
        <f t="shared" ca="1" si="20"/>
        <v>#N/A</v>
      </c>
      <c r="U114" s="285">
        <f t="shared" si="52"/>
        <v>0.99999961431187756</v>
      </c>
      <c r="V114" s="891">
        <f t="shared" si="36"/>
        <v>7.5965530754729116E-8</v>
      </c>
      <c r="W114" s="99">
        <f t="shared" si="37"/>
        <v>0.99999961431187756</v>
      </c>
      <c r="X114" s="99" t="e">
        <f t="shared" ca="1" si="21"/>
        <v>#N/A</v>
      </c>
      <c r="Y114" s="161" t="e">
        <f t="shared" ca="1" si="22"/>
        <v>#N/A</v>
      </c>
      <c r="Z114" s="286" t="e">
        <f t="shared" ca="1" si="23"/>
        <v>#N/A</v>
      </c>
      <c r="AA114" s="285">
        <f t="shared" si="53"/>
        <v>0.98441838516621127</v>
      </c>
      <c r="AB114" s="891">
        <f t="shared" si="38"/>
        <v>8.6858066062223127E-4</v>
      </c>
      <c r="AC114" s="99">
        <f t="shared" si="39"/>
        <v>0.98441838516621127</v>
      </c>
      <c r="AD114" s="99" t="e">
        <f t="shared" ca="1" si="24"/>
        <v>#N/A</v>
      </c>
      <c r="AE114" s="161" t="e">
        <f t="shared" ca="1" si="25"/>
        <v>#N/A</v>
      </c>
      <c r="AF114" s="286" t="e">
        <f t="shared" ca="1" si="26"/>
        <v>#N/A</v>
      </c>
      <c r="AG114" s="285">
        <f t="shared" si="54"/>
        <v>0.99798980990231978</v>
      </c>
      <c r="AH114" s="891">
        <f t="shared" si="46"/>
        <v>1.7657030839157706E-4</v>
      </c>
      <c r="AI114" s="99">
        <f t="shared" si="40"/>
        <v>0.99798980990231978</v>
      </c>
      <c r="AJ114" s="99" t="e">
        <f t="shared" ca="1" si="55"/>
        <v>#N/A</v>
      </c>
      <c r="AK114" s="161" t="e">
        <f t="shared" ca="1" si="27"/>
        <v>#N/A</v>
      </c>
      <c r="AL114" s="286" t="e">
        <f t="shared" ca="1" si="56"/>
        <v>#N/A</v>
      </c>
      <c r="AM114" s="285">
        <f t="shared" si="57"/>
        <v>0.99812660880392212</v>
      </c>
      <c r="AN114" s="891">
        <f t="shared" si="41"/>
        <v>1.7515896259678865E-4</v>
      </c>
      <c r="AO114" s="99">
        <f t="shared" si="42"/>
        <v>0.99812660880392212</v>
      </c>
      <c r="AP114" s="99" t="e">
        <f t="shared" ca="1" si="58"/>
        <v>#N/A</v>
      </c>
      <c r="AQ114" s="161" t="e">
        <f t="shared" ca="1" si="29"/>
        <v>#N/A</v>
      </c>
      <c r="AR114" s="286" t="e">
        <f t="shared" ca="1" si="59"/>
        <v>#N/A</v>
      </c>
      <c r="AS114" s="285">
        <f t="shared" si="60"/>
        <v>0.99946142968302953</v>
      </c>
      <c r="AT114" s="891">
        <f t="shared" si="43"/>
        <v>5.4448764094217061E-5</v>
      </c>
      <c r="AU114" s="99">
        <f t="shared" si="44"/>
        <v>0.99946142968302953</v>
      </c>
      <c r="AV114" s="99" t="e">
        <f t="shared" ca="1" si="30"/>
        <v>#N/A</v>
      </c>
      <c r="AW114" s="161" t="e">
        <f t="shared" ca="1" si="31"/>
        <v>#N/A</v>
      </c>
      <c r="AX114" s="286" t="e">
        <f t="shared" ca="1" si="61"/>
        <v>#N/A</v>
      </c>
    </row>
    <row r="115" spans="2:79" x14ac:dyDescent="0.25">
      <c r="B115" s="104">
        <f t="shared" si="32"/>
        <v>58</v>
      </c>
      <c r="C115" s="94">
        <v>59</v>
      </c>
      <c r="D115" s="94">
        <f t="shared" si="12"/>
        <v>0.99981680793946004</v>
      </c>
      <c r="E115" s="94">
        <f t="shared" si="45"/>
        <v>2.0775441703202446E-5</v>
      </c>
      <c r="F115" s="94" t="e">
        <f ca="1">IF(AND(H115=0,SUM(H115:H$116)&gt;0),0.0001,H115)</f>
        <v>#N/A</v>
      </c>
      <c r="G115" s="94" t="e">
        <f t="shared" ca="1" si="13"/>
        <v>#N/A</v>
      </c>
      <c r="H115" s="94" t="e">
        <f t="shared" ca="1" si="47"/>
        <v>#N/A</v>
      </c>
      <c r="I115" s="161" t="e">
        <f t="shared" ca="1" si="15"/>
        <v>#N/A</v>
      </c>
      <c r="J115" s="156" t="e">
        <f t="shared" ca="1" si="33"/>
        <v>#N/A</v>
      </c>
      <c r="K115" s="160" t="e">
        <f t="shared" ca="1" si="16"/>
        <v>#N/A</v>
      </c>
      <c r="L115" s="101" t="e">
        <f t="shared" ca="1" si="48"/>
        <v>#N/A</v>
      </c>
      <c r="M115" s="101" t="e">
        <f t="shared" ca="1" si="49"/>
        <v>#N/A</v>
      </c>
      <c r="N115" s="101" t="e">
        <f t="shared" ca="1" si="18"/>
        <v>#N/A</v>
      </c>
      <c r="O115" s="285">
        <f t="shared" si="50"/>
        <v>0.99981680793946004</v>
      </c>
      <c r="P115" s="891">
        <f t="shared" si="34"/>
        <v>2.0775441703202446E-5</v>
      </c>
      <c r="Q115" s="99">
        <f t="shared" si="35"/>
        <v>0.99981680793946004</v>
      </c>
      <c r="R115" s="99" t="e">
        <f t="shared" ca="1" si="51"/>
        <v>#N/A</v>
      </c>
      <c r="S115" s="161" t="e">
        <f t="shared" ca="1" si="19"/>
        <v>#N/A</v>
      </c>
      <c r="T115" s="286" t="e">
        <f t="shared" ca="1" si="20"/>
        <v>#N/A</v>
      </c>
      <c r="U115" s="285">
        <f t="shared" si="52"/>
        <v>0.9999996771614682</v>
      </c>
      <c r="V115" s="891">
        <f t="shared" si="36"/>
        <v>6.2849590642954922E-8</v>
      </c>
      <c r="W115" s="99">
        <f t="shared" si="37"/>
        <v>0.9999996771614682</v>
      </c>
      <c r="X115" s="99" t="e">
        <f t="shared" ca="1" si="21"/>
        <v>#N/A</v>
      </c>
      <c r="Y115" s="161" t="e">
        <f t="shared" ca="1" si="22"/>
        <v>#N/A</v>
      </c>
      <c r="Z115" s="286" t="e">
        <f t="shared" ca="1" si="23"/>
        <v>#N/A</v>
      </c>
      <c r="AA115" s="285">
        <f t="shared" si="53"/>
        <v>0.98523346567314241</v>
      </c>
      <c r="AB115" s="891">
        <f t="shared" si="38"/>
        <v>8.1508050693113177E-4</v>
      </c>
      <c r="AC115" s="99">
        <f t="shared" si="39"/>
        <v>0.98523346567314241</v>
      </c>
      <c r="AD115" s="99" t="e">
        <f t="shared" ca="1" si="24"/>
        <v>#N/A</v>
      </c>
      <c r="AE115" s="161" t="e">
        <f t="shared" ca="1" si="25"/>
        <v>#N/A</v>
      </c>
      <c r="AF115" s="286" t="e">
        <f t="shared" ca="1" si="26"/>
        <v>#N/A</v>
      </c>
      <c r="AG115" s="285">
        <f t="shared" si="54"/>
        <v>0.99815064857968649</v>
      </c>
      <c r="AH115" s="891">
        <f t="shared" si="46"/>
        <v>1.6083867736671476E-4</v>
      </c>
      <c r="AI115" s="99">
        <f t="shared" si="40"/>
        <v>0.99815064857968649</v>
      </c>
      <c r="AJ115" s="99" t="e">
        <f t="shared" ca="1" si="55"/>
        <v>#N/A</v>
      </c>
      <c r="AK115" s="161" t="e">
        <f t="shared" ca="1" si="27"/>
        <v>#N/A</v>
      </c>
      <c r="AL115" s="286" t="e">
        <f t="shared" ca="1" si="56"/>
        <v>#N/A</v>
      </c>
      <c r="AM115" s="285">
        <f t="shared" si="57"/>
        <v>0.99828539726290511</v>
      </c>
      <c r="AN115" s="891">
        <f t="shared" si="41"/>
        <v>1.5878845898298355E-4</v>
      </c>
      <c r="AO115" s="99">
        <f t="shared" si="42"/>
        <v>0.99828539726290511</v>
      </c>
      <c r="AP115" s="99" t="e">
        <f t="shared" ca="1" si="58"/>
        <v>#N/A</v>
      </c>
      <c r="AQ115" s="161" t="e">
        <f t="shared" ca="1" si="29"/>
        <v>#N/A</v>
      </c>
      <c r="AR115" s="286" t="e">
        <f t="shared" ca="1" si="59"/>
        <v>#N/A</v>
      </c>
      <c r="AS115" s="285">
        <f t="shared" si="60"/>
        <v>0.99951040773245414</v>
      </c>
      <c r="AT115" s="891">
        <f t="shared" si="43"/>
        <v>4.8978049424608372E-5</v>
      </c>
      <c r="AU115" s="99">
        <f t="shared" si="44"/>
        <v>0.99951040773245414</v>
      </c>
      <c r="AV115" s="99" t="e">
        <f t="shared" ca="1" si="30"/>
        <v>#N/A</v>
      </c>
      <c r="AW115" s="161" t="e">
        <f t="shared" ca="1" si="31"/>
        <v>#N/A</v>
      </c>
      <c r="AX115" s="286" t="e">
        <f t="shared" ca="1" si="61"/>
        <v>#N/A</v>
      </c>
    </row>
    <row r="116" spans="2:79" x14ac:dyDescent="0.25">
      <c r="B116" s="104">
        <f t="shared" si="32"/>
        <v>59</v>
      </c>
      <c r="C116" s="94">
        <v>60</v>
      </c>
      <c r="D116" s="94">
        <f t="shared" si="12"/>
        <v>0.99983529132987281</v>
      </c>
      <c r="E116" s="94">
        <f t="shared" si="45"/>
        <v>1.848339041277125E-5</v>
      </c>
      <c r="F116" s="94" t="e">
        <f ca="1">IF(AND(H116=0,SUM(H116:H$116)&gt;0),0.0001,H116)</f>
        <v>#N/A</v>
      </c>
      <c r="G116" s="94" t="e">
        <f t="shared" ca="1" si="13"/>
        <v>#N/A</v>
      </c>
      <c r="H116" s="94" t="e">
        <f t="shared" ca="1" si="47"/>
        <v>#N/A</v>
      </c>
      <c r="I116" s="161" t="e">
        <f t="shared" ca="1" si="15"/>
        <v>#N/A</v>
      </c>
      <c r="J116" s="156" t="e">
        <f t="shared" ca="1" si="33"/>
        <v>#N/A</v>
      </c>
      <c r="K116" s="160" t="e">
        <f t="shared" ca="1" si="16"/>
        <v>#N/A</v>
      </c>
      <c r="L116" s="101" t="e">
        <f t="shared" ca="1" si="48"/>
        <v>#N/A</v>
      </c>
      <c r="M116" s="101" t="e">
        <f t="shared" ca="1" si="49"/>
        <v>#N/A</v>
      </c>
      <c r="N116" s="101" t="e">
        <f t="shared" ca="1" si="18"/>
        <v>#N/A</v>
      </c>
      <c r="O116" s="285">
        <f t="shared" si="50"/>
        <v>0.99983529132987281</v>
      </c>
      <c r="P116" s="891">
        <f t="shared" si="34"/>
        <v>1.848339041277125E-5</v>
      </c>
      <c r="Q116" s="99">
        <f t="shared" si="35"/>
        <v>0.99983529132987281</v>
      </c>
      <c r="R116" s="99" t="e">
        <f t="shared" ca="1" si="51"/>
        <v>#N/A</v>
      </c>
      <c r="S116" s="161" t="e">
        <f t="shared" ca="1" si="19"/>
        <v>#N/A</v>
      </c>
      <c r="T116" s="286" t="e">
        <f t="shared" ca="1" si="20"/>
        <v>#N/A</v>
      </c>
      <c r="U116" s="285">
        <f t="shared" si="52"/>
        <v>0.99999972926529113</v>
      </c>
      <c r="V116" s="891">
        <f t="shared" si="36"/>
        <v>5.2103822922866527E-8</v>
      </c>
      <c r="W116" s="99">
        <f t="shared" si="37"/>
        <v>0.99999972926529113</v>
      </c>
      <c r="X116" s="99" t="e">
        <f t="shared" ca="1" si="21"/>
        <v>#N/A</v>
      </c>
      <c r="Y116" s="161" t="e">
        <f t="shared" ca="1" si="22"/>
        <v>#N/A</v>
      </c>
      <c r="Z116" s="286" t="e">
        <f t="shared" ca="1" si="23"/>
        <v>#N/A</v>
      </c>
      <c r="AA116" s="285">
        <f t="shared" si="53"/>
        <v>0.98599882118837301</v>
      </c>
      <c r="AB116" s="891">
        <f t="shared" si="38"/>
        <v>7.6535551523060352E-4</v>
      </c>
      <c r="AC116" s="99">
        <f t="shared" si="39"/>
        <v>0.98599882118837301</v>
      </c>
      <c r="AD116" s="99" t="e">
        <f t="shared" ca="1" si="24"/>
        <v>#N/A</v>
      </c>
      <c r="AE116" s="161" t="e">
        <f t="shared" ca="1" si="25"/>
        <v>#N/A</v>
      </c>
      <c r="AF116" s="286" t="e">
        <f t="shared" ca="1" si="26"/>
        <v>#N/A</v>
      </c>
      <c r="AG116" s="285">
        <f t="shared" si="54"/>
        <v>0.99829728919086547</v>
      </c>
      <c r="AH116" s="891">
        <f t="shared" si="46"/>
        <v>1.4664061117897198E-4</v>
      </c>
      <c r="AI116" s="99">
        <f t="shared" si="40"/>
        <v>0.99829728919086547</v>
      </c>
      <c r="AJ116" s="99" t="e">
        <f t="shared" ca="1" si="55"/>
        <v>#N/A</v>
      </c>
      <c r="AK116" s="161" t="e">
        <f t="shared" ca="1" si="27"/>
        <v>#N/A</v>
      </c>
      <c r="AL116" s="286" t="e">
        <f t="shared" ca="1" si="56"/>
        <v>#N/A</v>
      </c>
      <c r="AM116" s="285">
        <f t="shared" si="57"/>
        <v>0.99842947548577188</v>
      </c>
      <c r="AN116" s="891">
        <f t="shared" si="41"/>
        <v>1.4407822286677252E-4</v>
      </c>
      <c r="AO116" s="99">
        <f t="shared" si="42"/>
        <v>0.99842947548577188</v>
      </c>
      <c r="AP116" s="99" t="e">
        <f t="shared" ca="1" si="58"/>
        <v>#N/A</v>
      </c>
      <c r="AQ116" s="161" t="e">
        <f t="shared" ca="1" si="29"/>
        <v>#N/A</v>
      </c>
      <c r="AR116" s="286" t="e">
        <f t="shared" ca="1" si="59"/>
        <v>#N/A</v>
      </c>
      <c r="AS116" s="285">
        <f t="shared" si="60"/>
        <v>0.99955451228048686</v>
      </c>
      <c r="AT116" s="891">
        <f t="shared" si="43"/>
        <v>4.410454803271957E-5</v>
      </c>
      <c r="AU116" s="99">
        <f t="shared" si="44"/>
        <v>0.99955451228048686</v>
      </c>
      <c r="AV116" s="99" t="e">
        <f t="shared" ca="1" si="30"/>
        <v>#N/A</v>
      </c>
      <c r="AW116" s="161" t="e">
        <f t="shared" ca="1" si="31"/>
        <v>#N/A</v>
      </c>
      <c r="AX116" s="286" t="e">
        <f t="shared" ca="1" si="61"/>
        <v>#N/A</v>
      </c>
    </row>
    <row r="117" spans="2:79" x14ac:dyDescent="0.25">
      <c r="C117" s="94" t="s">
        <v>126</v>
      </c>
      <c r="D117" s="93"/>
      <c r="G117" s="94" t="e">
        <f ca="1">SUM(G57:G116)</f>
        <v>#N/A</v>
      </c>
      <c r="J117" s="103" t="e">
        <f ca="1">MAX(J57:J116)</f>
        <v>#N/A</v>
      </c>
      <c r="K117" s="160" t="e">
        <f ca="1">LOOKUP((MAX(J57:J116)),J57:J116,K57:K116)</f>
        <v>#N/A</v>
      </c>
      <c r="N117" s="101" t="e">
        <f ca="1">SUM(N57:N116)</f>
        <v>#N/A</v>
      </c>
      <c r="O117" s="287"/>
      <c r="P117" s="288">
        <f>SUM(P57:P116)</f>
        <v>0.99983529132987281</v>
      </c>
      <c r="Q117" s="288"/>
      <c r="R117" s="288"/>
      <c r="S117" s="288"/>
      <c r="T117" s="892" t="e">
        <f ca="1">LOOKUP((MAX($J57:$J116)),$J57:$J116,T57:T116)</f>
        <v>#N/A</v>
      </c>
      <c r="U117" s="893"/>
      <c r="V117" s="288">
        <f>SUM(V57:V116)</f>
        <v>0.99999972926529113</v>
      </c>
      <c r="W117" s="288"/>
      <c r="X117" s="288"/>
      <c r="Y117" s="288"/>
      <c r="Z117" s="289" t="e">
        <f ca="1">LOOKUP((MAX($J57:$J116)),$J57:$J116,Z57:Z116)</f>
        <v>#N/A</v>
      </c>
      <c r="AA117" s="287"/>
      <c r="AB117" s="288">
        <f>SUM(AB57:AB116)</f>
        <v>0.98599882118837301</v>
      </c>
      <c r="AC117" s="288"/>
      <c r="AD117" s="288"/>
      <c r="AE117" s="288"/>
      <c r="AF117" s="289" t="e">
        <f ca="1">LOOKUP((MAX($J57:$J116)),$J57:$J116,AF57:AF116)</f>
        <v>#N/A</v>
      </c>
      <c r="AG117" s="287"/>
      <c r="AH117" s="288">
        <f>SUM(AH57:AH116)</f>
        <v>0.99829728919086547</v>
      </c>
      <c r="AI117" s="288"/>
      <c r="AJ117" s="288"/>
      <c r="AK117" s="288"/>
      <c r="AL117" s="289" t="e">
        <f ca="1">LOOKUP((MAX($J57:$J116)),$J57:$J116,AL57:AL116)</f>
        <v>#N/A</v>
      </c>
      <c r="AM117" s="287"/>
      <c r="AN117" s="288">
        <f>SUM(AN57:AN116)</f>
        <v>0.99842947548577188</v>
      </c>
      <c r="AO117" s="288"/>
      <c r="AP117" s="288"/>
      <c r="AQ117" s="288"/>
      <c r="AR117" s="289" t="e">
        <f ca="1">LOOKUP((MAX($J57:$J116)),$J57:$J116,AR57:AR116)</f>
        <v>#N/A</v>
      </c>
      <c r="AS117" s="287"/>
      <c r="AT117" s="288">
        <f>SUM(AT57:AT116)</f>
        <v>0.99955451228048686</v>
      </c>
      <c r="AU117" s="288"/>
      <c r="AV117" s="288"/>
      <c r="AW117" s="288"/>
      <c r="AX117" s="289" t="e">
        <f ca="1">LOOKUP((MAX($J57:$J116)),$J57:$J116,AX57:AX116)</f>
        <v>#N/A</v>
      </c>
    </row>
    <row r="118" spans="2:79" x14ac:dyDescent="0.25">
      <c r="D118" s="93"/>
      <c r="J118" s="103"/>
      <c r="K118" s="160"/>
      <c r="O118" s="343"/>
      <c r="P118" s="343"/>
      <c r="Q118" s="343"/>
      <c r="R118" s="343"/>
      <c r="S118" s="343"/>
      <c r="T118" s="344"/>
      <c r="U118" s="343"/>
      <c r="V118" s="343"/>
      <c r="W118" s="343"/>
      <c r="X118" s="343"/>
      <c r="Y118" s="343"/>
      <c r="Z118" s="344"/>
      <c r="AA118" s="343"/>
      <c r="AB118" s="343"/>
      <c r="AC118" s="343"/>
      <c r="AD118" s="343"/>
      <c r="AE118" s="343"/>
      <c r="AF118" s="344"/>
      <c r="AG118" s="343"/>
      <c r="AH118" s="343"/>
      <c r="AI118" s="343"/>
      <c r="AJ118" s="343"/>
      <c r="AK118" s="343"/>
      <c r="AL118" s="344"/>
      <c r="AM118" s="343"/>
      <c r="AN118" s="343"/>
      <c r="AO118" s="343"/>
      <c r="AP118" s="343"/>
      <c r="AQ118" s="343"/>
      <c r="AR118" s="344"/>
      <c r="AS118" s="343"/>
      <c r="AT118" s="343"/>
      <c r="AU118" s="343"/>
      <c r="AV118" s="343"/>
      <c r="AW118" s="343"/>
      <c r="AX118" s="344"/>
    </row>
    <row r="119" spans="2:79" x14ac:dyDescent="0.25">
      <c r="B119" s="345"/>
      <c r="C119" s="345"/>
      <c r="D119" s="346"/>
      <c r="E119" s="345"/>
      <c r="F119" s="345"/>
      <c r="G119" s="345"/>
      <c r="H119" s="345"/>
      <c r="I119" s="347"/>
      <c r="J119" s="348"/>
      <c r="K119" s="349"/>
      <c r="L119" s="345"/>
      <c r="M119" s="345"/>
      <c r="N119" s="345"/>
      <c r="O119" s="350"/>
      <c r="P119" s="350"/>
      <c r="Q119" s="350"/>
      <c r="R119" s="350"/>
      <c r="S119" s="350"/>
      <c r="T119" s="351"/>
      <c r="U119" s="350"/>
      <c r="V119" s="350"/>
      <c r="W119" s="350"/>
      <c r="X119" s="350"/>
      <c r="Y119" s="350"/>
      <c r="Z119" s="351"/>
      <c r="AA119" s="350"/>
      <c r="AB119" s="350"/>
      <c r="AC119" s="350"/>
      <c r="AD119" s="350"/>
      <c r="AE119" s="350"/>
      <c r="AF119" s="351"/>
      <c r="AG119" s="350"/>
      <c r="AH119" s="350"/>
      <c r="AI119" s="350"/>
      <c r="AJ119" s="350"/>
      <c r="AK119" s="350"/>
      <c r="AL119" s="351"/>
      <c r="AM119" s="350"/>
      <c r="AN119" s="350"/>
      <c r="AO119" s="350"/>
      <c r="AP119" s="350"/>
      <c r="AQ119" s="350"/>
      <c r="AR119" s="351"/>
      <c r="AS119" s="350"/>
      <c r="AT119" s="350"/>
      <c r="AU119" s="350"/>
      <c r="AV119" s="350"/>
      <c r="AW119" s="350"/>
      <c r="AX119" s="351"/>
      <c r="AY119" s="345"/>
      <c r="AZ119" s="345"/>
      <c r="BA119" s="345"/>
      <c r="BB119" s="345"/>
      <c r="BC119" s="345"/>
      <c r="BD119" s="345"/>
      <c r="BE119" s="345"/>
      <c r="BF119" s="345"/>
      <c r="BM119" s="345"/>
      <c r="BN119" s="345"/>
      <c r="BO119" s="345"/>
      <c r="BP119" s="345"/>
      <c r="BQ119" s="345"/>
      <c r="BR119" s="345"/>
      <c r="BS119" s="345"/>
      <c r="BT119" s="345"/>
      <c r="BU119" s="345"/>
      <c r="BV119" s="345"/>
      <c r="BW119" s="345"/>
      <c r="BX119" s="345"/>
      <c r="BY119" s="345"/>
      <c r="BZ119" s="345"/>
      <c r="CA119" s="345"/>
    </row>
    <row r="120" spans="2:79" ht="13.8" thickBot="1" x14ac:dyDescent="0.3"/>
    <row r="121" spans="2:79" ht="27" thickBot="1" x14ac:dyDescent="0.3">
      <c r="D121" s="95" t="s">
        <v>255</v>
      </c>
      <c r="E121" s="336" t="str">
        <f>$E$41</f>
        <v>Wilkening</v>
      </c>
      <c r="F121" s="323" t="str">
        <f>$F$41</f>
        <v>Wilkening</v>
      </c>
      <c r="G121" s="323" t="str">
        <f>$G$41</f>
        <v>Mod.-Brookmeyer</v>
      </c>
      <c r="H121" s="321">
        <f>$H$41</f>
        <v>0</v>
      </c>
      <c r="I121" s="99"/>
      <c r="J121" s="99"/>
      <c r="K121" s="99"/>
    </row>
    <row r="122" spans="2:79" x14ac:dyDescent="0.25">
      <c r="B122" s="252"/>
      <c r="C122" s="318"/>
      <c r="D122" s="340" t="s">
        <v>250</v>
      </c>
      <c r="E122" s="337" t="e">
        <f ca="1">IF($E$48&gt;0,IF($J189&gt;0,IF($K189&gt;$E$48,$E$48,$K189),$E$48),$K189)</f>
        <v>#N/A</v>
      </c>
      <c r="F122" s="335" t="e">
        <f ca="1">IF($E$48&gt;0,IF($J189&gt;0,IF($T123&gt;$E$48,$E$48,$T123),$E$48),$T123)</f>
        <v>#N/A</v>
      </c>
      <c r="G122" s="335" t="e">
        <f ca="1">IF($E$48&gt;0,IF($J189&gt;0,IF($AL123&gt;$E$48,$E$48,$AL123),$E$48),$AL123)</f>
        <v>#N/A</v>
      </c>
      <c r="H122" s="367"/>
      <c r="I122" s="99"/>
      <c r="J122" s="99"/>
      <c r="K122" s="99"/>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row>
    <row r="123" spans="2:79" x14ac:dyDescent="0.25">
      <c r="B123" s="99"/>
      <c r="C123" s="319"/>
      <c r="D123" s="341" t="s">
        <v>434</v>
      </c>
      <c r="E123" s="338" t="e">
        <f ca="1">IF($E$41=$F$41,F123,IF($E$41=$G$41,G123,IF($E$41=$H$41,H123,"n/a")))</f>
        <v>#N/A</v>
      </c>
      <c r="F123" s="327" t="e">
        <f ca="1">IF($E$48&gt;0,IF($J189&gt;0,IF($Z123&gt;$E$48,$E$48,$Z123),$E$48),$Z123)</f>
        <v>#N/A</v>
      </c>
      <c r="G123" s="327" t="e">
        <f ca="1">IF($E$48&gt;0,IF($J189&gt;0,IF($AX123&gt;$E$48,$E$48,$AX123),$E$48),$AX123)</f>
        <v>#N/A</v>
      </c>
      <c r="H123" s="368"/>
      <c r="I123" s="99"/>
      <c r="J123" s="99"/>
      <c r="K123" s="99"/>
      <c r="O123" s="274" t="s">
        <v>247</v>
      </c>
      <c r="P123" s="315"/>
      <c r="Q123" s="315"/>
      <c r="R123" s="275"/>
      <c r="S123" s="359" t="s">
        <v>249</v>
      </c>
      <c r="T123" s="370" t="e">
        <f ca="1">T189</f>
        <v>#N/A</v>
      </c>
      <c r="U123" s="274" t="s">
        <v>253</v>
      </c>
      <c r="V123" s="315"/>
      <c r="W123" s="315"/>
      <c r="X123" s="275"/>
      <c r="Y123" s="359" t="s">
        <v>248</v>
      </c>
      <c r="Z123" s="366" t="e">
        <f ca="1">Z189</f>
        <v>#N/A</v>
      </c>
      <c r="AA123" s="274" t="s">
        <v>252</v>
      </c>
      <c r="AB123" s="315"/>
      <c r="AC123" s="315"/>
      <c r="AD123" s="275"/>
      <c r="AE123" s="359" t="s">
        <v>251</v>
      </c>
      <c r="AF123" s="360" t="e">
        <f ca="1">AF189</f>
        <v>#N/A</v>
      </c>
      <c r="AG123" s="274" t="s">
        <v>461</v>
      </c>
      <c r="AH123" s="275"/>
      <c r="AI123" s="275"/>
      <c r="AJ123" s="275"/>
      <c r="AK123" s="275"/>
      <c r="AL123" s="360" t="e">
        <f ca="1">AL189</f>
        <v>#N/A</v>
      </c>
      <c r="AM123" s="274" t="s">
        <v>462</v>
      </c>
      <c r="AN123" s="275"/>
      <c r="AO123" s="275"/>
      <c r="AP123" s="275"/>
      <c r="AQ123" s="359" t="s">
        <v>465</v>
      </c>
      <c r="AR123" s="360" t="e">
        <f ca="1">AR189</f>
        <v>#N/A</v>
      </c>
      <c r="AS123" s="274" t="s">
        <v>463</v>
      </c>
      <c r="AT123" s="275"/>
      <c r="AU123" s="275"/>
      <c r="AV123" s="275"/>
      <c r="AW123" s="359" t="s">
        <v>464</v>
      </c>
      <c r="AX123" s="360" t="e">
        <f ca="1">AX189</f>
        <v>#N/A</v>
      </c>
      <c r="CA123" s="102"/>
    </row>
    <row r="124" spans="2:79" ht="13.8" thickBot="1" x14ac:dyDescent="0.3">
      <c r="B124" s="99"/>
      <c r="C124" s="320"/>
      <c r="D124" s="342" t="s">
        <v>435</v>
      </c>
      <c r="E124" s="339" t="e">
        <f ca="1">IF($E$41=$F$41,F124,IF($E$41=$G$41,G124,IF($E$41=$H$41,H124,"n/a")))</f>
        <v>#N/A</v>
      </c>
      <c r="F124" s="328" t="e">
        <f ca="1">IF($E$48&gt;0,IF($J189&gt;0,IF($AF123&gt;$E$48,$E$48,$AF123),$E$48),$AF123)</f>
        <v>#N/A</v>
      </c>
      <c r="G124" s="328" t="e">
        <f ca="1">IF($E$48&gt;0,IF($J189&gt;0,IF($AR123&gt;$E$48,$E$48,$AR123),$E$48),$AR123)</f>
        <v>#N/A</v>
      </c>
      <c r="H124" s="369"/>
      <c r="I124" s="99"/>
      <c r="J124" s="99"/>
      <c r="K124" s="99"/>
      <c r="O124" s="276"/>
      <c r="P124" s="277"/>
      <c r="Q124" s="277"/>
      <c r="R124" s="277"/>
      <c r="S124" s="277"/>
      <c r="T124" s="279"/>
      <c r="U124" s="276"/>
      <c r="V124" s="277"/>
      <c r="W124" s="277"/>
      <c r="X124" s="277"/>
      <c r="Y124" s="277"/>
      <c r="Z124" s="281"/>
      <c r="AA124" s="276"/>
      <c r="AB124" s="277"/>
      <c r="AC124" s="277"/>
      <c r="AD124" s="277"/>
      <c r="AE124" s="277"/>
      <c r="AF124" s="281"/>
      <c r="AG124" s="276"/>
      <c r="AH124" s="277"/>
      <c r="AI124" s="277"/>
      <c r="AJ124" s="277"/>
      <c r="AK124" s="277"/>
      <c r="AL124" s="281"/>
      <c r="AM124" s="276"/>
      <c r="AN124" s="277"/>
      <c r="AO124" s="277"/>
      <c r="AP124" s="277"/>
      <c r="AQ124" s="277"/>
      <c r="AR124" s="281"/>
      <c r="AS124" s="276"/>
      <c r="AT124" s="277"/>
      <c r="AU124" s="277"/>
      <c r="AV124" s="277"/>
      <c r="AW124" s="277"/>
      <c r="AX124" s="281"/>
      <c r="AY124" s="98"/>
      <c r="AZ124" s="98"/>
      <c r="BA124" s="102"/>
      <c r="BB124" s="102"/>
      <c r="BC124" s="102"/>
      <c r="BD124" s="102"/>
      <c r="BE124" s="102"/>
      <c r="BF124" s="102"/>
      <c r="BM124" s="102"/>
      <c r="BN124" s="102"/>
      <c r="BO124" s="102"/>
      <c r="BP124" s="102"/>
      <c r="BQ124" s="102"/>
      <c r="BR124" s="102"/>
      <c r="BS124" s="102"/>
      <c r="BT124" s="102"/>
      <c r="BU124" s="102"/>
      <c r="BV124" s="102"/>
      <c r="BW124" s="102"/>
      <c r="BX124" s="102"/>
      <c r="BY124" s="102"/>
      <c r="BZ124" s="102"/>
    </row>
    <row r="125" spans="2:79" x14ac:dyDescent="0.25">
      <c r="B125" s="99"/>
      <c r="C125" s="316"/>
      <c r="D125" s="316"/>
      <c r="E125" s="317"/>
      <c r="F125" s="313"/>
      <c r="G125" s="313"/>
      <c r="H125" s="313"/>
      <c r="I125" s="99"/>
      <c r="J125" s="99"/>
      <c r="K125" s="99"/>
      <c r="O125" s="276"/>
      <c r="P125" s="277"/>
      <c r="Q125" s="277"/>
      <c r="R125" s="277"/>
      <c r="S125" s="277"/>
      <c r="T125" s="277"/>
      <c r="U125" s="276"/>
      <c r="V125" s="277"/>
      <c r="W125" s="277"/>
      <c r="X125" s="277"/>
      <c r="Y125" s="277"/>
      <c r="Z125" s="278"/>
      <c r="AA125" s="276"/>
      <c r="AB125" s="277"/>
      <c r="AC125" s="277"/>
      <c r="AD125" s="277"/>
      <c r="AE125" s="277"/>
      <c r="AF125" s="278"/>
      <c r="AG125" s="276"/>
      <c r="AH125" s="277"/>
      <c r="AI125" s="277"/>
      <c r="AJ125" s="277"/>
      <c r="AK125" s="277"/>
      <c r="AL125" s="278"/>
      <c r="AM125" s="276"/>
      <c r="AN125" s="277"/>
      <c r="AO125" s="277"/>
      <c r="AP125" s="277"/>
      <c r="AQ125" s="277"/>
      <c r="AR125" s="278"/>
      <c r="AS125" s="276"/>
      <c r="AT125" s="277"/>
      <c r="AU125" s="277"/>
      <c r="AV125" s="277"/>
      <c r="AW125" s="277"/>
      <c r="AX125" s="278"/>
    </row>
    <row r="126" spans="2:79" ht="15.6" x14ac:dyDescent="0.25">
      <c r="B126" s="99"/>
      <c r="C126" s="316"/>
      <c r="D126" s="316"/>
      <c r="E126" s="317"/>
      <c r="F126" s="313"/>
      <c r="G126" s="313"/>
      <c r="H126" s="313"/>
      <c r="I126" s="99"/>
      <c r="J126" s="99"/>
      <c r="K126" s="99"/>
      <c r="O126" s="365"/>
      <c r="P126" s="362"/>
      <c r="Q126" s="362"/>
      <c r="R126" s="362"/>
      <c r="S126" s="363"/>
      <c r="T126" s="371"/>
      <c r="U126" s="365"/>
      <c r="V126" s="362"/>
      <c r="W126" s="362"/>
      <c r="X126" s="362"/>
      <c r="Y126" s="363"/>
      <c r="Z126" s="364"/>
      <c r="AA126" s="365"/>
      <c r="AB126" s="362"/>
      <c r="AC126" s="362"/>
      <c r="AD126" s="362"/>
      <c r="AE126" s="363"/>
      <c r="AF126" s="364"/>
      <c r="AG126" s="361"/>
      <c r="AH126" s="362"/>
      <c r="AI126" s="362"/>
      <c r="AJ126" s="362"/>
      <c r="AK126" s="363"/>
      <c r="AL126" s="364"/>
      <c r="AM126" s="361"/>
      <c r="AN126" s="362"/>
      <c r="AO126" s="362"/>
      <c r="AP126" s="362"/>
      <c r="AQ126" s="363"/>
      <c r="AR126" s="364"/>
      <c r="AS126" s="361"/>
      <c r="AT126" s="362"/>
      <c r="AU126" s="362"/>
      <c r="AV126" s="362"/>
      <c r="AW126" s="363"/>
      <c r="AX126" s="364"/>
    </row>
    <row r="127" spans="2:79" ht="17.399999999999999" x14ac:dyDescent="0.3">
      <c r="B127" s="314" t="s">
        <v>440</v>
      </c>
      <c r="E127" s="464" t="str">
        <f>CASE_COUNTS!C10</f>
        <v>&lt;type description here&gt;</v>
      </c>
      <c r="G127" s="100"/>
      <c r="H127" s="95"/>
      <c r="O127" s="280"/>
      <c r="P127" s="279"/>
      <c r="Q127" s="279"/>
      <c r="R127" s="279"/>
      <c r="S127" s="279"/>
      <c r="T127" s="281"/>
      <c r="U127" s="280"/>
      <c r="V127" s="279"/>
      <c r="W127" s="279"/>
      <c r="X127" s="279"/>
      <c r="Y127" s="279"/>
      <c r="Z127" s="281"/>
      <c r="AA127" s="280"/>
      <c r="AB127" s="279"/>
      <c r="AC127" s="279"/>
      <c r="AD127" s="279"/>
      <c r="AE127" s="279"/>
      <c r="AF127" s="281"/>
      <c r="AI127" s="279"/>
      <c r="AK127" s="279"/>
      <c r="AL127" s="281"/>
      <c r="AO127" s="279"/>
      <c r="AQ127" s="279"/>
      <c r="AR127" s="281"/>
      <c r="AU127" s="279"/>
      <c r="AW127" s="279"/>
      <c r="AX127" s="281"/>
    </row>
    <row r="128" spans="2:79" ht="66" x14ac:dyDescent="0.25">
      <c r="B128" s="157" t="s">
        <v>118</v>
      </c>
      <c r="C128" s="157" t="s">
        <v>137</v>
      </c>
      <c r="D128" s="157" t="s">
        <v>136</v>
      </c>
      <c r="E128" s="157" t="s">
        <v>135</v>
      </c>
      <c r="F128" s="157" t="s">
        <v>134</v>
      </c>
      <c r="G128" s="158" t="s">
        <v>133</v>
      </c>
      <c r="H128" s="158" t="s">
        <v>256</v>
      </c>
      <c r="I128" s="158" t="s">
        <v>132</v>
      </c>
      <c r="J128" s="157" t="s">
        <v>131</v>
      </c>
      <c r="K128" s="159" t="s">
        <v>130</v>
      </c>
      <c r="L128" s="157" t="s">
        <v>128</v>
      </c>
      <c r="M128" s="157" t="s">
        <v>129</v>
      </c>
      <c r="N128" s="157" t="s">
        <v>127</v>
      </c>
      <c r="O128" s="282" t="s">
        <v>213</v>
      </c>
      <c r="P128" s="283" t="s">
        <v>215</v>
      </c>
      <c r="Q128" s="283" t="s">
        <v>220</v>
      </c>
      <c r="R128" s="283" t="s">
        <v>217</v>
      </c>
      <c r="S128" s="283" t="s">
        <v>219</v>
      </c>
      <c r="T128" s="284" t="s">
        <v>218</v>
      </c>
      <c r="U128" s="282" t="s">
        <v>213</v>
      </c>
      <c r="V128" s="283" t="s">
        <v>215</v>
      </c>
      <c r="W128" s="283" t="s">
        <v>220</v>
      </c>
      <c r="X128" s="283" t="s">
        <v>217</v>
      </c>
      <c r="Y128" s="283" t="s">
        <v>219</v>
      </c>
      <c r="Z128" s="284" t="s">
        <v>218</v>
      </c>
      <c r="AA128" s="282" t="s">
        <v>213</v>
      </c>
      <c r="AB128" s="283" t="s">
        <v>215</v>
      </c>
      <c r="AC128" s="283" t="s">
        <v>220</v>
      </c>
      <c r="AD128" s="283" t="s">
        <v>217</v>
      </c>
      <c r="AE128" s="283" t="s">
        <v>219</v>
      </c>
      <c r="AF128" s="284" t="s">
        <v>218</v>
      </c>
      <c r="AG128" s="159" t="s">
        <v>214</v>
      </c>
      <c r="AH128" s="159" t="s">
        <v>216</v>
      </c>
      <c r="AI128" s="283" t="s">
        <v>224</v>
      </c>
      <c r="AJ128" s="283" t="s">
        <v>221</v>
      </c>
      <c r="AK128" s="283" t="s">
        <v>222</v>
      </c>
      <c r="AL128" s="284" t="s">
        <v>223</v>
      </c>
      <c r="AM128" s="159" t="s">
        <v>214</v>
      </c>
      <c r="AN128" s="159" t="s">
        <v>216</v>
      </c>
      <c r="AO128" s="283" t="s">
        <v>224</v>
      </c>
      <c r="AP128" s="283" t="s">
        <v>221</v>
      </c>
      <c r="AQ128" s="283" t="s">
        <v>222</v>
      </c>
      <c r="AR128" s="284" t="s">
        <v>223</v>
      </c>
      <c r="AS128" s="159" t="s">
        <v>214</v>
      </c>
      <c r="AT128" s="159" t="s">
        <v>216</v>
      </c>
      <c r="AU128" s="283" t="s">
        <v>224</v>
      </c>
      <c r="AV128" s="283" t="s">
        <v>221</v>
      </c>
      <c r="AW128" s="283" t="s">
        <v>222</v>
      </c>
      <c r="AX128" s="284" t="s">
        <v>223</v>
      </c>
    </row>
    <row r="129" spans="2:64" x14ac:dyDescent="0.25">
      <c r="B129" s="104">
        <f>$I$402</f>
        <v>0</v>
      </c>
      <c r="C129" s="94">
        <v>1</v>
      </c>
      <c r="D129" s="94">
        <f t="shared" ref="D129:D188" si="62">_xlfn.LOGNORM.DIST(C129, $E$45, $E$47, FALSE)</f>
        <v>4.1494886126356278E-3</v>
      </c>
      <c r="E129" s="94">
        <f t="shared" ref="E129:E160" si="63">ROUND(D129/$D$260,6)</f>
        <v>4.1510000000000002E-3</v>
      </c>
      <c r="F129" s="94">
        <f>E129</f>
        <v>4.1510000000000002E-3</v>
      </c>
      <c r="G129" s="94" t="e">
        <f ca="1">IF(H129&gt;0,H129,(ROUND(E129*$E$122,0)))</f>
        <v>#N/A</v>
      </c>
      <c r="H129" s="94" t="e">
        <f t="shared" ref="H129:H160" ca="1" si="64">LOOKUP(B129,$C$405:$C$601,(OFFSET($C$405:$C$601,0,2)))</f>
        <v>#N/A</v>
      </c>
      <c r="I129" s="161" t="e">
        <f t="shared" ref="I129:I136" ca="1" si="65">IF((NOT(J129="n/a")),J129,ROUND(G129+I128,0))</f>
        <v>#N/A</v>
      </c>
      <c r="J129" s="156" t="e">
        <f ca="1">H129</f>
        <v>#N/A</v>
      </c>
      <c r="K129" s="160" t="e">
        <f ca="1">IF(NOT(J129="n/a"),(J129/F129),0)</f>
        <v>#N/A</v>
      </c>
      <c r="L129" s="101" t="e">
        <f t="shared" ref="L129:L188" ca="1" si="66">IF($E$41=$F$41,AE129,IF($E$41=$G$41,AW129,"n/a"))</f>
        <v>#N/A</v>
      </c>
      <c r="M129" s="101" t="e">
        <f t="shared" ref="M129:M188" ca="1" si="67">IF($E$41=$F$41,Y129,IF($E$41=$G$41,AQ129,"n/a"))</f>
        <v>#N/A</v>
      </c>
      <c r="N129" s="101" t="e">
        <f ca="1">IF($E$41=$F$41,AD129,IF($E$41=$G$41,AP129,"n/a"))</f>
        <v>#N/A</v>
      </c>
      <c r="O129" s="285">
        <f t="shared" ref="O129:O160" si="68">_xlfn.LOGNORM.DIST($C129, O$52, O$53, FALSE)</f>
        <v>4.1494886126356278E-3</v>
      </c>
      <c r="P129" s="99">
        <f t="shared" ref="P129:P160" si="69">ROUND(O129/O$260,6)</f>
        <v>4.1510000000000002E-3</v>
      </c>
      <c r="Q129" s="99">
        <f>P129</f>
        <v>4.1510000000000002E-3</v>
      </c>
      <c r="R129" s="99" t="e">
        <f t="shared" ref="R129:R160" ca="1" si="70">ROUND(P129*$F$193,0)</f>
        <v>#N/A</v>
      </c>
      <c r="S129" s="161" t="e">
        <f ca="1">ROUND(R129,0)</f>
        <v>#N/A</v>
      </c>
      <c r="T129" s="286" t="e">
        <f t="shared" ref="T129:T188" ca="1" si="71">IF(NOT($J129="n/a"),($J129/Q129),0)</f>
        <v>#N/A</v>
      </c>
      <c r="U129" s="285">
        <f t="shared" ref="U129:U160" si="72">_xlfn.LOGNORM.DIST($C129, U$52, U$53, FALSE)</f>
        <v>3.8999077802935674E-3</v>
      </c>
      <c r="V129" s="99">
        <f t="shared" ref="V129:V160" si="73">IF(ROUND(U129/U$260,6)&lt;0.000001,0.000001,ROUND(U129/U$260,6))</f>
        <v>3.901E-3</v>
      </c>
      <c r="W129" s="99">
        <f>V129</f>
        <v>3.901E-3</v>
      </c>
      <c r="X129" s="99" t="e">
        <f t="shared" ref="X129:X160" ca="1" si="74">ROUND(V129*$F$194,0)</f>
        <v>#N/A</v>
      </c>
      <c r="Y129" s="161" t="e">
        <f ca="1">ROUND(X129,0)</f>
        <v>#N/A</v>
      </c>
      <c r="Z129" s="286" t="e">
        <f ca="1">IF(NOT($J129="n/a"),($J129/W129),0)</f>
        <v>#N/A</v>
      </c>
      <c r="AA129" s="285">
        <f t="shared" ref="AA129:AA160" si="75">_xlfn.LOGNORM.DIST($C129, AA$52, AA$53, FALSE)</f>
        <v>7.2536703768600807E-3</v>
      </c>
      <c r="AB129" s="99">
        <f t="shared" ref="AB129:AB160" si="76">IF(ROUND(AA129/AA$260,6)&lt;0.000001,0.000001,ROUND(AA129/AA$260,6))</f>
        <v>7.3530000000000002E-3</v>
      </c>
      <c r="AC129" s="99">
        <f>AB129</f>
        <v>7.3530000000000002E-3</v>
      </c>
      <c r="AD129" s="99" t="e">
        <f t="shared" ref="AD129:AD160" ca="1" si="77">ROUND(AB129*$F$195,0)</f>
        <v>#N/A</v>
      </c>
      <c r="AE129" s="161" t="e">
        <f ca="1">ROUND(AD129,0)</f>
        <v>#N/A</v>
      </c>
      <c r="AF129" s="286" t="e">
        <f t="shared" ref="AF129:AF188" ca="1" si="78">IF(NOT($J129="n/a"),($J129/AC129),0)</f>
        <v>#N/A</v>
      </c>
      <c r="AG129" s="285">
        <f t="shared" ref="AG129:AG160" si="79">_xlfn.LOGNORM.DIST($C129, AG$52, AG$53, FALSE)</f>
        <v>2.228973652197974E-3</v>
      </c>
      <c r="AH129" s="99">
        <f t="shared" ref="AH129:AH160" si="80">ROUND(AG129/AG$260,6)</f>
        <v>2.2330000000000002E-3</v>
      </c>
      <c r="AI129" s="99">
        <f>AH129</f>
        <v>2.2330000000000002E-3</v>
      </c>
      <c r="AJ129" s="99" t="e">
        <f t="shared" ref="AJ129:AJ160" ca="1" si="81">ROUND(AH129*$G$193,0)</f>
        <v>#N/A</v>
      </c>
      <c r="AK129" s="161" t="e">
        <f ca="1">ROUND(AJ129,0)</f>
        <v>#N/A</v>
      </c>
      <c r="AL129" s="286" t="e">
        <f t="shared" ref="AL129:AL188" ca="1" si="82">IF(NOT($J129="n/a"),($J129/AI129),0)</f>
        <v>#N/A</v>
      </c>
      <c r="AM129" s="285">
        <f t="shared" ref="AM129:AM160" si="83">_xlfn.LOGNORM.DIST($C129, AM$52, AM$53, FALSE)</f>
        <v>7.6328943848398372E-4</v>
      </c>
      <c r="AN129" s="99">
        <f t="shared" ref="AN129:AN160" si="84">IF(ROUND(AM129/AM$260,6)&lt;0.000001,0.000001,ROUND(AM129/AM$260,6))</f>
        <v>7.6400000000000003E-4</v>
      </c>
      <c r="AO129" s="99">
        <f>AN129</f>
        <v>7.6400000000000003E-4</v>
      </c>
      <c r="AP129" s="99" t="e">
        <f t="shared" ref="AP129:AP160" ca="1" si="85">ROUND(AN129*$G$195,0)</f>
        <v>#N/A</v>
      </c>
      <c r="AQ129" s="161" t="e">
        <f ca="1">ROUND(AP129,0)</f>
        <v>#N/A</v>
      </c>
      <c r="AR129" s="286" t="e">
        <f t="shared" ref="AR129:AR188" ca="1" si="86">IF(NOT($J129="n/a"),($J129/AO129),0)</f>
        <v>#N/A</v>
      </c>
      <c r="AS129" s="285">
        <f t="shared" ref="AS129:AS160" si="87">_xlfn.LOGNORM.DIST($C129, AS$52, AS$53, FALSE)</f>
        <v>4.9059042822844484E-3</v>
      </c>
      <c r="AT129" s="99">
        <f t="shared" ref="AT129:AT160" si="88">IF(ROUND(AS129/AS$260,6)&lt;0.000001,0.000001,ROUND(AS129/AS$260,6))</f>
        <v>4.908E-3</v>
      </c>
      <c r="AU129" s="99">
        <f>AT129</f>
        <v>4.908E-3</v>
      </c>
      <c r="AV129" s="99" t="e">
        <f t="shared" ref="AV129:AV160" ca="1" si="89">ROUND(AT129*$F$194,0)</f>
        <v>#N/A</v>
      </c>
      <c r="AW129" s="161" t="e">
        <f ca="1">ROUND(AV129,0)</f>
        <v>#N/A</v>
      </c>
      <c r="AX129" s="286" t="e">
        <f t="shared" ref="AX129:AX188" ca="1" si="90">IF(NOT($J129="n/a"),($J129/AU129),0)</f>
        <v>#N/A</v>
      </c>
    </row>
    <row r="130" spans="2:64" x14ac:dyDescent="0.25">
      <c r="B130" s="104">
        <f>B129+1</f>
        <v>1</v>
      </c>
      <c r="C130" s="94">
        <v>2</v>
      </c>
      <c r="D130" s="94">
        <f t="shared" si="62"/>
        <v>4.1441088921845635E-2</v>
      </c>
      <c r="E130" s="94">
        <f t="shared" si="63"/>
        <v>4.1452000000000003E-2</v>
      </c>
      <c r="F130" s="94">
        <f>E130+F129</f>
        <v>4.5603000000000005E-2</v>
      </c>
      <c r="G130" s="94" t="e">
        <f ca="1">IF(H130&gt;0,H130,(ROUND(E130*$E$122,0)))</f>
        <v>#N/A</v>
      </c>
      <c r="H130" s="94" t="e">
        <f t="shared" ca="1" si="64"/>
        <v>#N/A</v>
      </c>
      <c r="I130" s="161" t="e">
        <f t="shared" ca="1" si="65"/>
        <v>#N/A</v>
      </c>
      <c r="J130" s="156" t="e">
        <f ca="1">IF(H130=0,"n/a",H130+J129)</f>
        <v>#N/A</v>
      </c>
      <c r="K130" s="160" t="e">
        <f t="shared" ref="K130:K188" ca="1" si="91">IF(NOT(J130="n/a"),(J130/F130),0)</f>
        <v>#N/A</v>
      </c>
      <c r="L130" s="101" t="e">
        <f ca="1">IF($E$41=$F$41,AE130,IF($E$41=$G$41,AW130,"n/a"))</f>
        <v>#N/A</v>
      </c>
      <c r="M130" s="101" t="e">
        <f t="shared" ca="1" si="67"/>
        <v>#N/A</v>
      </c>
      <c r="N130" s="101" t="e">
        <f t="shared" ref="N130:N188" ca="1" si="92">IF($E$41=$F$41,AD130,IF($E$41=$G$41,AP130,"n/a"))</f>
        <v>#N/A</v>
      </c>
      <c r="O130" s="285">
        <f t="shared" si="68"/>
        <v>4.1441088921845635E-2</v>
      </c>
      <c r="P130" s="99">
        <f t="shared" si="69"/>
        <v>4.1452000000000003E-2</v>
      </c>
      <c r="Q130" s="99">
        <f>P130+Q129</f>
        <v>4.5603000000000005E-2</v>
      </c>
      <c r="R130" s="99" t="e">
        <f t="shared" ca="1" si="70"/>
        <v>#N/A</v>
      </c>
      <c r="S130" s="161" t="e">
        <f ca="1">ROUND(R130+S129,0)</f>
        <v>#N/A</v>
      </c>
      <c r="T130" s="286" t="e">
        <f t="shared" ca="1" si="71"/>
        <v>#N/A</v>
      </c>
      <c r="U130" s="285">
        <f t="shared" si="72"/>
        <v>7.092576247741994E-2</v>
      </c>
      <c r="V130" s="99">
        <f t="shared" si="73"/>
        <v>7.0939000000000002E-2</v>
      </c>
      <c r="W130" s="99">
        <f>V130+W129</f>
        <v>7.4840000000000004E-2</v>
      </c>
      <c r="X130" s="99" t="e">
        <f t="shared" ca="1" si="74"/>
        <v>#N/A</v>
      </c>
      <c r="Y130" s="161" t="e">
        <f ca="1">ROUND(X130+Y129,0)</f>
        <v>#N/A</v>
      </c>
      <c r="Z130" s="286" t="e">
        <f t="shared" ref="Z130:Z188" ca="1" si="93">IF(NOT($J130="n/a"),($J130/W130),0)</f>
        <v>#N/A</v>
      </c>
      <c r="AA130" s="285">
        <f t="shared" si="75"/>
        <v>3.0817935068779893E-2</v>
      </c>
      <c r="AB130" s="99">
        <f t="shared" si="76"/>
        <v>3.1238999999999999E-2</v>
      </c>
      <c r="AC130" s="99">
        <f>AB130+AC129</f>
        <v>3.8592000000000001E-2</v>
      </c>
      <c r="AD130" s="99" t="e">
        <f t="shared" ca="1" si="77"/>
        <v>#N/A</v>
      </c>
      <c r="AE130" s="161" t="e">
        <f ca="1">ROUND(AD130+AE129,0)</f>
        <v>#N/A</v>
      </c>
      <c r="AF130" s="286" t="e">
        <f t="shared" ca="1" si="78"/>
        <v>#N/A</v>
      </c>
      <c r="AG130" s="285">
        <f t="shared" si="79"/>
        <v>2.2329188082983068E-2</v>
      </c>
      <c r="AH130" s="99">
        <f t="shared" si="80"/>
        <v>2.2367000000000001E-2</v>
      </c>
      <c r="AI130" s="99">
        <f>AH130+AI129</f>
        <v>2.46E-2</v>
      </c>
      <c r="AJ130" s="99" t="e">
        <f t="shared" ca="1" si="81"/>
        <v>#N/A</v>
      </c>
      <c r="AK130" s="161" t="e">
        <f ca="1">ROUND(AJ130+AK129,0)</f>
        <v>#N/A</v>
      </c>
      <c r="AL130" s="286" t="e">
        <f t="shared" ca="1" si="82"/>
        <v>#N/A</v>
      </c>
      <c r="AM130" s="285">
        <f t="shared" si="83"/>
        <v>1.2500445109613734E-2</v>
      </c>
      <c r="AN130" s="99">
        <f t="shared" si="84"/>
        <v>1.252E-2</v>
      </c>
      <c r="AO130" s="99">
        <f>AN130+AO129</f>
        <v>1.3284000000000001E-2</v>
      </c>
      <c r="AP130" s="99" t="e">
        <f t="shared" ca="1" si="85"/>
        <v>#N/A</v>
      </c>
      <c r="AQ130" s="161" t="e">
        <f ca="1">ROUND(AP130+AQ129,0)</f>
        <v>#N/A</v>
      </c>
      <c r="AR130" s="286" t="e">
        <f t="shared" ca="1" si="86"/>
        <v>#N/A</v>
      </c>
      <c r="AS130" s="285">
        <f t="shared" si="87"/>
        <v>4.0368885307584028E-2</v>
      </c>
      <c r="AT130" s="99">
        <f t="shared" si="88"/>
        <v>4.0389000000000001E-2</v>
      </c>
      <c r="AU130" s="99">
        <f>AT130+AU129</f>
        <v>4.5297000000000004E-2</v>
      </c>
      <c r="AV130" s="99" t="e">
        <f t="shared" ca="1" si="89"/>
        <v>#N/A</v>
      </c>
      <c r="AW130" s="161" t="e">
        <f ca="1">ROUND(AV130+AW129,0)</f>
        <v>#N/A</v>
      </c>
      <c r="AX130" s="286" t="e">
        <f t="shared" ca="1" si="90"/>
        <v>#N/A</v>
      </c>
    </row>
    <row r="131" spans="2:64" x14ac:dyDescent="0.25">
      <c r="B131" s="104">
        <f t="shared" ref="B131:B188" si="94">B130+1</f>
        <v>2</v>
      </c>
      <c r="C131" s="94">
        <v>3</v>
      </c>
      <c r="D131" s="94">
        <f t="shared" si="62"/>
        <v>8.6536506476041108E-2</v>
      </c>
      <c r="E131" s="94">
        <f t="shared" si="63"/>
        <v>8.6559999999999998E-2</v>
      </c>
      <c r="F131" s="94">
        <f t="shared" ref="F131:F188" si="95">E131+F130</f>
        <v>0.132163</v>
      </c>
      <c r="G131" s="94" t="e">
        <f t="shared" ref="G131:G188" ca="1" si="96">IF(H131&gt;0,H131,(ROUND(E131*$E$122,0)))</f>
        <v>#N/A</v>
      </c>
      <c r="H131" s="94" t="e">
        <f t="shared" ca="1" si="64"/>
        <v>#N/A</v>
      </c>
      <c r="I131" s="161" t="e">
        <f t="shared" ca="1" si="65"/>
        <v>#N/A</v>
      </c>
      <c r="J131" s="156" t="e">
        <f ca="1">IF(H131=0,"n/a",H131+J130)</f>
        <v>#N/A</v>
      </c>
      <c r="K131" s="160" t="e">
        <f t="shared" ca="1" si="91"/>
        <v>#N/A</v>
      </c>
      <c r="L131" s="101" t="e">
        <f t="shared" ca="1" si="66"/>
        <v>#N/A</v>
      </c>
      <c r="M131" s="101" t="e">
        <f t="shared" ca="1" si="67"/>
        <v>#N/A</v>
      </c>
      <c r="N131" s="101" t="e">
        <f t="shared" ca="1" si="92"/>
        <v>#N/A</v>
      </c>
      <c r="O131" s="285">
        <f t="shared" si="68"/>
        <v>8.6536506476041108E-2</v>
      </c>
      <c r="P131" s="99">
        <f t="shared" si="69"/>
        <v>8.6559999999999998E-2</v>
      </c>
      <c r="Q131" s="99">
        <f t="shared" ref="Q131:Q188" si="97">P131+Q130</f>
        <v>0.132163</v>
      </c>
      <c r="R131" s="99" t="e">
        <f t="shared" ca="1" si="70"/>
        <v>#N/A</v>
      </c>
      <c r="S131" s="161" t="e">
        <f t="shared" ref="S131:S188" ca="1" si="98">ROUND(R131+S130,0)</f>
        <v>#N/A</v>
      </c>
      <c r="T131" s="286" t="e">
        <f t="shared" ca="1" si="71"/>
        <v>#N/A</v>
      </c>
      <c r="U131" s="285">
        <f t="shared" si="72"/>
        <v>0.15576054666355946</v>
      </c>
      <c r="V131" s="99">
        <f t="shared" si="73"/>
        <v>0.15579100000000001</v>
      </c>
      <c r="W131" s="99">
        <f t="shared" ref="W131:W188" si="99">V131+W130</f>
        <v>0.23063100000000003</v>
      </c>
      <c r="X131" s="99" t="e">
        <f t="shared" ca="1" si="74"/>
        <v>#N/A</v>
      </c>
      <c r="Y131" s="161" t="e">
        <f t="shared" ref="Y131:Y188" ca="1" si="100">ROUND(X131+Y130,0)</f>
        <v>#N/A</v>
      </c>
      <c r="Z131" s="286" t="e">
        <f t="shared" ca="1" si="93"/>
        <v>#N/A</v>
      </c>
      <c r="AA131" s="285">
        <f t="shared" si="75"/>
        <v>5.0806545186598377E-2</v>
      </c>
      <c r="AB131" s="99">
        <f t="shared" si="76"/>
        <v>5.1499999999999997E-2</v>
      </c>
      <c r="AC131" s="99">
        <f t="shared" ref="AC131:AC188" si="101">AB131+AC130</f>
        <v>9.0092000000000005E-2</v>
      </c>
      <c r="AD131" s="99" t="e">
        <f t="shared" ca="1" si="77"/>
        <v>#N/A</v>
      </c>
      <c r="AE131" s="161" t="e">
        <f t="shared" ref="AE131:AE188" ca="1" si="102">ROUND(AD131+AE130,0)</f>
        <v>#N/A</v>
      </c>
      <c r="AF131" s="286" t="e">
        <f t="shared" ca="1" si="78"/>
        <v>#N/A</v>
      </c>
      <c r="AG131" s="285">
        <f t="shared" si="79"/>
        <v>5.0903195133495303E-2</v>
      </c>
      <c r="AH131" s="99">
        <f t="shared" si="80"/>
        <v>5.0989E-2</v>
      </c>
      <c r="AI131" s="99">
        <f t="shared" ref="AI131:AI188" si="103">AH131+AI130</f>
        <v>7.5589000000000003E-2</v>
      </c>
      <c r="AJ131" s="99" t="e">
        <f t="shared" ca="1" si="81"/>
        <v>#N/A</v>
      </c>
      <c r="AK131" s="161" t="e">
        <f t="shared" ref="AK131:AK188" ca="1" si="104">ROUND(AJ131+AK130,0)</f>
        <v>#N/A</v>
      </c>
      <c r="AL131" s="286" t="e">
        <f t="shared" ca="1" si="82"/>
        <v>#N/A</v>
      </c>
      <c r="AM131" s="285">
        <f t="shared" si="83"/>
        <v>3.5804949084388214E-2</v>
      </c>
      <c r="AN131" s="99">
        <f t="shared" si="84"/>
        <v>3.5860000000000003E-2</v>
      </c>
      <c r="AO131" s="99">
        <f t="shared" ref="AO131:AO188" si="105">AN131+AO130</f>
        <v>4.9144000000000007E-2</v>
      </c>
      <c r="AP131" s="99" t="e">
        <f t="shared" ca="1" si="85"/>
        <v>#N/A</v>
      </c>
      <c r="AQ131" s="161" t="e">
        <f t="shared" ref="AQ131:AQ188" ca="1" si="106">ROUND(AP131+AQ130,0)</f>
        <v>#N/A</v>
      </c>
      <c r="AR131" s="286" t="e">
        <f t="shared" ca="1" si="86"/>
        <v>#N/A</v>
      </c>
      <c r="AS131" s="285">
        <f t="shared" si="87"/>
        <v>7.9863244478421441E-2</v>
      </c>
      <c r="AT131" s="99">
        <f t="shared" si="88"/>
        <v>7.9904000000000003E-2</v>
      </c>
      <c r="AU131" s="99">
        <f t="shared" ref="AU131:AU188" si="107">AT131+AU130</f>
        <v>0.12520100000000001</v>
      </c>
      <c r="AV131" s="99" t="e">
        <f t="shared" ca="1" si="89"/>
        <v>#N/A</v>
      </c>
      <c r="AW131" s="161" t="e">
        <f t="shared" ref="AW131:AW188" ca="1" si="108">ROUND(AV131+AW130,0)</f>
        <v>#N/A</v>
      </c>
      <c r="AX131" s="286" t="e">
        <f t="shared" ca="1" si="90"/>
        <v>#N/A</v>
      </c>
    </row>
    <row r="132" spans="2:64" x14ac:dyDescent="0.25">
      <c r="B132" s="104">
        <f t="shared" si="94"/>
        <v>3</v>
      </c>
      <c r="C132" s="94">
        <v>4</v>
      </c>
      <c r="D132" s="94">
        <f t="shared" si="62"/>
        <v>0.11104815351609751</v>
      </c>
      <c r="E132" s="94">
        <f t="shared" si="63"/>
        <v>0.111078</v>
      </c>
      <c r="F132" s="94">
        <f t="shared" si="95"/>
        <v>0.24324099999999999</v>
      </c>
      <c r="G132" s="94" t="e">
        <f t="shared" ca="1" si="96"/>
        <v>#N/A</v>
      </c>
      <c r="H132" s="94" t="e">
        <f t="shared" ca="1" si="64"/>
        <v>#N/A</v>
      </c>
      <c r="I132" s="161" t="e">
        <f t="shared" ca="1" si="65"/>
        <v>#N/A</v>
      </c>
      <c r="J132" s="156" t="e">
        <f t="shared" ref="J132:J188" ca="1" si="109">IF(H132=0,"n/a",H132+J131)</f>
        <v>#N/A</v>
      </c>
      <c r="K132" s="160" t="e">
        <f t="shared" ca="1" si="91"/>
        <v>#N/A</v>
      </c>
      <c r="L132" s="101" t="e">
        <f t="shared" ca="1" si="66"/>
        <v>#N/A</v>
      </c>
      <c r="M132" s="101" t="e">
        <f t="shared" ca="1" si="67"/>
        <v>#N/A</v>
      </c>
      <c r="N132" s="101" t="e">
        <f t="shared" ca="1" si="92"/>
        <v>#N/A</v>
      </c>
      <c r="O132" s="285">
        <f t="shared" si="68"/>
        <v>0.11104815351609751</v>
      </c>
      <c r="P132" s="99">
        <f t="shared" si="69"/>
        <v>0.111078</v>
      </c>
      <c r="Q132" s="99">
        <f t="shared" si="97"/>
        <v>0.24324099999999999</v>
      </c>
      <c r="R132" s="99" t="e">
        <f t="shared" ca="1" si="70"/>
        <v>#N/A</v>
      </c>
      <c r="S132" s="161" t="e">
        <f t="shared" ca="1" si="98"/>
        <v>#N/A</v>
      </c>
      <c r="T132" s="286" t="e">
        <f t="shared" ca="1" si="71"/>
        <v>#N/A</v>
      </c>
      <c r="U132" s="285">
        <f t="shared" si="72"/>
        <v>0.18110431160426857</v>
      </c>
      <c r="V132" s="99">
        <f t="shared" si="73"/>
        <v>0.18113899999999999</v>
      </c>
      <c r="W132" s="99">
        <f t="shared" si="99"/>
        <v>0.41177000000000002</v>
      </c>
      <c r="X132" s="99" t="e">
        <f t="shared" ca="1" si="74"/>
        <v>#N/A</v>
      </c>
      <c r="Y132" s="161" t="e">
        <f t="shared" ca="1" si="100"/>
        <v>#N/A</v>
      </c>
      <c r="Z132" s="286" t="e">
        <f t="shared" ca="1" si="93"/>
        <v>#N/A</v>
      </c>
      <c r="AA132" s="285">
        <f t="shared" si="75"/>
        <v>6.2036361286667806E-2</v>
      </c>
      <c r="AB132" s="99">
        <f t="shared" si="76"/>
        <v>6.2882999999999994E-2</v>
      </c>
      <c r="AC132" s="99">
        <f t="shared" si="101"/>
        <v>0.152975</v>
      </c>
      <c r="AD132" s="99" t="e">
        <f t="shared" ca="1" si="77"/>
        <v>#N/A</v>
      </c>
      <c r="AE132" s="161" t="e">
        <f t="shared" ca="1" si="102"/>
        <v>#N/A</v>
      </c>
      <c r="AF132" s="286" t="e">
        <f t="shared" ca="1" si="78"/>
        <v>#N/A</v>
      </c>
      <c r="AG132" s="285">
        <f t="shared" si="79"/>
        <v>7.2243839991133957E-2</v>
      </c>
      <c r="AH132" s="99">
        <f t="shared" si="80"/>
        <v>7.2364999999999999E-2</v>
      </c>
      <c r="AI132" s="99">
        <f t="shared" si="103"/>
        <v>0.147954</v>
      </c>
      <c r="AJ132" s="99" t="e">
        <f t="shared" ca="1" si="81"/>
        <v>#N/A</v>
      </c>
      <c r="AK132" s="161" t="e">
        <f t="shared" ca="1" si="104"/>
        <v>#N/A</v>
      </c>
      <c r="AL132" s="286" t="e">
        <f t="shared" ca="1" si="82"/>
        <v>#N/A</v>
      </c>
      <c r="AM132" s="285">
        <f t="shared" si="83"/>
        <v>5.8187223317231911E-2</v>
      </c>
      <c r="AN132" s="99">
        <f t="shared" si="84"/>
        <v>5.8276000000000001E-2</v>
      </c>
      <c r="AO132" s="99">
        <f t="shared" si="105"/>
        <v>0.10742000000000002</v>
      </c>
      <c r="AP132" s="99" t="e">
        <f t="shared" ca="1" si="85"/>
        <v>#N/A</v>
      </c>
      <c r="AQ132" s="161" t="e">
        <f t="shared" ca="1" si="106"/>
        <v>#N/A</v>
      </c>
      <c r="AR132" s="286" t="e">
        <f t="shared" ca="1" si="86"/>
        <v>#N/A</v>
      </c>
      <c r="AS132" s="285">
        <f t="shared" si="87"/>
        <v>0.10128084922091396</v>
      </c>
      <c r="AT132" s="99">
        <f t="shared" si="88"/>
        <v>0.10133200000000001</v>
      </c>
      <c r="AU132" s="99">
        <f t="shared" si="107"/>
        <v>0.22653300000000001</v>
      </c>
      <c r="AV132" s="99" t="e">
        <f t="shared" ca="1" si="89"/>
        <v>#N/A</v>
      </c>
      <c r="AW132" s="161" t="e">
        <f t="shared" ca="1" si="108"/>
        <v>#N/A</v>
      </c>
      <c r="AX132" s="286" t="e">
        <f t="shared" ca="1" si="90"/>
        <v>#N/A</v>
      </c>
    </row>
    <row r="133" spans="2:64" x14ac:dyDescent="0.25">
      <c r="B133" s="104">
        <f t="shared" si="94"/>
        <v>4</v>
      </c>
      <c r="C133" s="94">
        <v>5</v>
      </c>
      <c r="D133" s="94">
        <f t="shared" si="62"/>
        <v>0.11527828582019288</v>
      </c>
      <c r="E133" s="94">
        <f t="shared" si="63"/>
        <v>0.11530899999999999</v>
      </c>
      <c r="F133" s="94">
        <f t="shared" si="95"/>
        <v>0.35854999999999998</v>
      </c>
      <c r="G133" s="94" t="e">
        <f t="shared" ca="1" si="96"/>
        <v>#N/A</v>
      </c>
      <c r="H133" s="94" t="e">
        <f t="shared" ca="1" si="64"/>
        <v>#N/A</v>
      </c>
      <c r="I133" s="161" t="e">
        <f t="shared" ca="1" si="65"/>
        <v>#N/A</v>
      </c>
      <c r="J133" s="156" t="e">
        <f t="shared" ca="1" si="109"/>
        <v>#N/A</v>
      </c>
      <c r="K133" s="160" t="e">
        <f t="shared" ca="1" si="91"/>
        <v>#N/A</v>
      </c>
      <c r="L133" s="101" t="e">
        <f t="shared" ca="1" si="66"/>
        <v>#N/A</v>
      </c>
      <c r="M133" s="101" t="e">
        <f t="shared" ca="1" si="67"/>
        <v>#N/A</v>
      </c>
      <c r="N133" s="101" t="e">
        <f t="shared" ca="1" si="92"/>
        <v>#N/A</v>
      </c>
      <c r="O133" s="285">
        <f t="shared" si="68"/>
        <v>0.11527828582019288</v>
      </c>
      <c r="P133" s="99">
        <f t="shared" si="69"/>
        <v>0.11530899999999999</v>
      </c>
      <c r="Q133" s="99">
        <f t="shared" si="97"/>
        <v>0.35854999999999998</v>
      </c>
      <c r="R133" s="99" t="e">
        <f t="shared" ca="1" si="70"/>
        <v>#N/A</v>
      </c>
      <c r="S133" s="161" t="e">
        <f t="shared" ca="1" si="98"/>
        <v>#N/A</v>
      </c>
      <c r="T133" s="286" t="e">
        <f t="shared" ca="1" si="71"/>
        <v>#N/A</v>
      </c>
      <c r="U133" s="285">
        <f t="shared" si="72"/>
        <v>0.16127598302583965</v>
      </c>
      <c r="V133" s="99">
        <f t="shared" si="73"/>
        <v>0.16130700000000001</v>
      </c>
      <c r="W133" s="99">
        <f t="shared" si="99"/>
        <v>0.57307700000000006</v>
      </c>
      <c r="X133" s="99" t="e">
        <f t="shared" ca="1" si="74"/>
        <v>#N/A</v>
      </c>
      <c r="Y133" s="161" t="e">
        <f t="shared" ca="1" si="100"/>
        <v>#N/A</v>
      </c>
      <c r="Z133" s="286" t="e">
        <f t="shared" ca="1" si="93"/>
        <v>#N/A</v>
      </c>
      <c r="AA133" s="285">
        <f t="shared" si="75"/>
        <v>6.6287928445060054E-2</v>
      </c>
      <c r="AB133" s="99">
        <f t="shared" si="76"/>
        <v>6.7193000000000003E-2</v>
      </c>
      <c r="AC133" s="99">
        <f t="shared" si="101"/>
        <v>0.220168</v>
      </c>
      <c r="AD133" s="99" t="e">
        <f t="shared" ca="1" si="77"/>
        <v>#N/A</v>
      </c>
      <c r="AE133" s="161" t="e">
        <f t="shared" ca="1" si="102"/>
        <v>#N/A</v>
      </c>
      <c r="AF133" s="286" t="e">
        <f t="shared" ca="1" si="78"/>
        <v>#N/A</v>
      </c>
      <c r="AG133" s="285">
        <f t="shared" si="79"/>
        <v>8.2893133421012025E-2</v>
      </c>
      <c r="AH133" s="99">
        <f t="shared" si="80"/>
        <v>8.3031999999999995E-2</v>
      </c>
      <c r="AI133" s="99">
        <f t="shared" si="103"/>
        <v>0.230986</v>
      </c>
      <c r="AJ133" s="99" t="e">
        <f t="shared" ca="1" si="81"/>
        <v>#N/A</v>
      </c>
      <c r="AK133" s="161" t="e">
        <f t="shared" ca="1" si="104"/>
        <v>#N/A</v>
      </c>
      <c r="AL133" s="286" t="e">
        <f t="shared" ca="1" si="82"/>
        <v>#N/A</v>
      </c>
      <c r="AM133" s="285">
        <f t="shared" si="83"/>
        <v>7.3045515146713647E-2</v>
      </c>
      <c r="AN133" s="99">
        <f t="shared" si="84"/>
        <v>7.3157E-2</v>
      </c>
      <c r="AO133" s="99">
        <f t="shared" si="105"/>
        <v>0.18057700000000002</v>
      </c>
      <c r="AP133" s="99" t="e">
        <f t="shared" ca="1" si="85"/>
        <v>#N/A</v>
      </c>
      <c r="AQ133" s="161" t="e">
        <f t="shared" ca="1" si="106"/>
        <v>#N/A</v>
      </c>
      <c r="AR133" s="286" t="e">
        <f t="shared" ca="1" si="86"/>
        <v>#N/A</v>
      </c>
      <c r="AS133" s="285">
        <f t="shared" si="87"/>
        <v>0.10577131720568293</v>
      </c>
      <c r="AT133" s="99">
        <f t="shared" si="88"/>
        <v>0.105825</v>
      </c>
      <c r="AU133" s="99">
        <f t="shared" si="107"/>
        <v>0.33235800000000004</v>
      </c>
      <c r="AV133" s="99" t="e">
        <f t="shared" ca="1" si="89"/>
        <v>#N/A</v>
      </c>
      <c r="AW133" s="161" t="e">
        <f t="shared" ca="1" si="108"/>
        <v>#N/A</v>
      </c>
      <c r="AX133" s="286" t="e">
        <f t="shared" ca="1" si="90"/>
        <v>#N/A</v>
      </c>
    </row>
    <row r="134" spans="2:64" x14ac:dyDescent="0.25">
      <c r="B134" s="104">
        <f t="shared" si="94"/>
        <v>5</v>
      </c>
      <c r="C134" s="94">
        <v>6</v>
      </c>
      <c r="D134" s="94">
        <f t="shared" si="62"/>
        <v>0.10741315519315243</v>
      </c>
      <c r="E134" s="94">
        <f t="shared" si="63"/>
        <v>0.107442</v>
      </c>
      <c r="F134" s="94">
        <f t="shared" si="95"/>
        <v>0.46599199999999996</v>
      </c>
      <c r="G134" s="94" t="e">
        <f t="shared" ca="1" si="96"/>
        <v>#N/A</v>
      </c>
      <c r="H134" s="94" t="e">
        <f t="shared" ca="1" si="64"/>
        <v>#N/A</v>
      </c>
      <c r="I134" s="161" t="e">
        <f t="shared" ca="1" si="65"/>
        <v>#N/A</v>
      </c>
      <c r="J134" s="156" t="e">
        <f t="shared" ca="1" si="109"/>
        <v>#N/A</v>
      </c>
      <c r="K134" s="160" t="e">
        <f t="shared" ca="1" si="91"/>
        <v>#N/A</v>
      </c>
      <c r="L134" s="101" t="e">
        <f t="shared" ca="1" si="66"/>
        <v>#N/A</v>
      </c>
      <c r="M134" s="101" t="e">
        <f t="shared" ca="1" si="67"/>
        <v>#N/A</v>
      </c>
      <c r="N134" s="101" t="e">
        <f t="shared" ca="1" si="92"/>
        <v>#N/A</v>
      </c>
      <c r="O134" s="285">
        <f t="shared" si="68"/>
        <v>0.10741315519315243</v>
      </c>
      <c r="P134" s="99">
        <f t="shared" si="69"/>
        <v>0.107442</v>
      </c>
      <c r="Q134" s="99">
        <f t="shared" si="97"/>
        <v>0.46599199999999996</v>
      </c>
      <c r="R134" s="99" t="e">
        <f t="shared" ca="1" si="70"/>
        <v>#N/A</v>
      </c>
      <c r="S134" s="161" t="e">
        <f t="shared" ca="1" si="98"/>
        <v>#N/A</v>
      </c>
      <c r="T134" s="286" t="e">
        <f t="shared" ca="1" si="71"/>
        <v>#N/A</v>
      </c>
      <c r="U134" s="285">
        <f t="shared" si="72"/>
        <v>0.1261329769636694</v>
      </c>
      <c r="V134" s="99">
        <f t="shared" si="73"/>
        <v>0.12615699999999999</v>
      </c>
      <c r="W134" s="99">
        <f t="shared" si="99"/>
        <v>0.69923400000000002</v>
      </c>
      <c r="X134" s="99" t="e">
        <f t="shared" ca="1" si="74"/>
        <v>#N/A</v>
      </c>
      <c r="Y134" s="161" t="e">
        <f t="shared" ca="1" si="100"/>
        <v>#N/A</v>
      </c>
      <c r="Z134" s="286" t="e">
        <f t="shared" ca="1" si="93"/>
        <v>#N/A</v>
      </c>
      <c r="AA134" s="285">
        <f t="shared" si="75"/>
        <v>6.6069176036870264E-2</v>
      </c>
      <c r="AB134" s="99">
        <f t="shared" si="76"/>
        <v>6.6971000000000003E-2</v>
      </c>
      <c r="AC134" s="99">
        <f t="shared" si="101"/>
        <v>0.28713900000000003</v>
      </c>
      <c r="AD134" s="99" t="e">
        <f t="shared" ca="1" si="77"/>
        <v>#N/A</v>
      </c>
      <c r="AE134" s="161" t="e">
        <f t="shared" ca="1" si="102"/>
        <v>#N/A</v>
      </c>
      <c r="AF134" s="286" t="e">
        <f t="shared" ca="1" si="78"/>
        <v>#N/A</v>
      </c>
      <c r="AG134" s="285">
        <f t="shared" si="79"/>
        <v>8.5025633655815766E-2</v>
      </c>
      <c r="AH134" s="99">
        <f t="shared" si="80"/>
        <v>8.5168999999999995E-2</v>
      </c>
      <c r="AI134" s="99">
        <f t="shared" si="103"/>
        <v>0.31615499999999996</v>
      </c>
      <c r="AJ134" s="99" t="e">
        <f t="shared" ca="1" si="81"/>
        <v>#N/A</v>
      </c>
      <c r="AK134" s="161" t="e">
        <f t="shared" ca="1" si="104"/>
        <v>#N/A</v>
      </c>
      <c r="AL134" s="286" t="e">
        <f t="shared" ca="1" si="82"/>
        <v>#N/A</v>
      </c>
      <c r="AM134" s="285">
        <f t="shared" si="83"/>
        <v>7.9847307011954291E-2</v>
      </c>
      <c r="AN134" s="99">
        <f t="shared" si="84"/>
        <v>7.9968999999999998E-2</v>
      </c>
      <c r="AO134" s="99">
        <f t="shared" si="105"/>
        <v>0.260546</v>
      </c>
      <c r="AP134" s="99" t="e">
        <f t="shared" ca="1" si="85"/>
        <v>#N/A</v>
      </c>
      <c r="AQ134" s="161" t="e">
        <f t="shared" ca="1" si="106"/>
        <v>#N/A</v>
      </c>
      <c r="AR134" s="286" t="e">
        <f t="shared" ca="1" si="86"/>
        <v>#N/A</v>
      </c>
      <c r="AS134" s="285">
        <f t="shared" si="87"/>
        <v>0.10001757269913929</v>
      </c>
      <c r="AT134" s="99">
        <f t="shared" si="88"/>
        <v>0.100068</v>
      </c>
      <c r="AU134" s="99">
        <f t="shared" si="107"/>
        <v>0.43242600000000003</v>
      </c>
      <c r="AV134" s="99" t="e">
        <f t="shared" ca="1" si="89"/>
        <v>#N/A</v>
      </c>
      <c r="AW134" s="161" t="e">
        <f t="shared" ca="1" si="108"/>
        <v>#N/A</v>
      </c>
      <c r="AX134" s="286" t="e">
        <f t="shared" ca="1" si="90"/>
        <v>#N/A</v>
      </c>
    </row>
    <row r="135" spans="2:64" x14ac:dyDescent="0.25">
      <c r="B135" s="104">
        <f t="shared" si="94"/>
        <v>6</v>
      </c>
      <c r="C135" s="94">
        <v>7</v>
      </c>
      <c r="D135" s="94">
        <f t="shared" si="62"/>
        <v>9.424730869960074E-2</v>
      </c>
      <c r="E135" s="94">
        <f t="shared" si="63"/>
        <v>9.4272999999999996E-2</v>
      </c>
      <c r="F135" s="94">
        <f t="shared" si="95"/>
        <v>0.56026500000000001</v>
      </c>
      <c r="G135" s="94" t="e">
        <f t="shared" ca="1" si="96"/>
        <v>#N/A</v>
      </c>
      <c r="H135" s="94" t="e">
        <f t="shared" ca="1" si="64"/>
        <v>#N/A</v>
      </c>
      <c r="I135" s="161" t="e">
        <f t="shared" ca="1" si="65"/>
        <v>#N/A</v>
      </c>
      <c r="J135" s="156" t="e">
        <f t="shared" ca="1" si="109"/>
        <v>#N/A</v>
      </c>
      <c r="K135" s="160" t="e">
        <f t="shared" ca="1" si="91"/>
        <v>#N/A</v>
      </c>
      <c r="L135" s="101" t="e">
        <f t="shared" ca="1" si="66"/>
        <v>#N/A</v>
      </c>
      <c r="M135" s="101" t="e">
        <f t="shared" ca="1" si="67"/>
        <v>#N/A</v>
      </c>
      <c r="N135" s="101" t="e">
        <f t="shared" ca="1" si="92"/>
        <v>#N/A</v>
      </c>
      <c r="O135" s="285">
        <f t="shared" si="68"/>
        <v>9.424730869960074E-2</v>
      </c>
      <c r="P135" s="99">
        <f t="shared" si="69"/>
        <v>9.4272999999999996E-2</v>
      </c>
      <c r="Q135" s="99">
        <f t="shared" si="97"/>
        <v>0.56026500000000001</v>
      </c>
      <c r="R135" s="99" t="e">
        <f t="shared" ca="1" si="70"/>
        <v>#N/A</v>
      </c>
      <c r="S135" s="161" t="e">
        <f t="shared" ca="1" si="98"/>
        <v>#N/A</v>
      </c>
      <c r="T135" s="286" t="e">
        <f t="shared" ca="1" si="71"/>
        <v>#N/A</v>
      </c>
      <c r="U135" s="285">
        <f t="shared" si="72"/>
        <v>9.2163234198371677E-2</v>
      </c>
      <c r="V135" s="99">
        <f t="shared" si="73"/>
        <v>9.2180999999999999E-2</v>
      </c>
      <c r="W135" s="99">
        <f t="shared" si="99"/>
        <v>0.79141499999999998</v>
      </c>
      <c r="X135" s="99" t="e">
        <f t="shared" ca="1" si="74"/>
        <v>#N/A</v>
      </c>
      <c r="Y135" s="161" t="e">
        <f t="shared" ca="1" si="100"/>
        <v>#N/A</v>
      </c>
      <c r="Z135" s="286" t="e">
        <f t="shared" ca="1" si="93"/>
        <v>#N/A</v>
      </c>
      <c r="AA135" s="285">
        <f t="shared" si="75"/>
        <v>6.3281191125273972E-2</v>
      </c>
      <c r="AB135" s="99">
        <f t="shared" si="76"/>
        <v>6.4144999999999994E-2</v>
      </c>
      <c r="AC135" s="99">
        <f t="shared" si="101"/>
        <v>0.35128400000000004</v>
      </c>
      <c r="AD135" s="99" t="e">
        <f t="shared" ca="1" si="77"/>
        <v>#N/A</v>
      </c>
      <c r="AE135" s="161" t="e">
        <f t="shared" ca="1" si="102"/>
        <v>#N/A</v>
      </c>
      <c r="AF135" s="286" t="e">
        <f t="shared" ca="1" si="78"/>
        <v>#N/A</v>
      </c>
      <c r="AG135" s="285">
        <f t="shared" si="79"/>
        <v>8.1730158902806854E-2</v>
      </c>
      <c r="AH135" s="99">
        <f t="shared" si="80"/>
        <v>8.1867999999999996E-2</v>
      </c>
      <c r="AI135" s="99">
        <f t="shared" si="103"/>
        <v>0.39802299999999996</v>
      </c>
      <c r="AJ135" s="99" t="e">
        <f t="shared" ca="1" si="81"/>
        <v>#N/A</v>
      </c>
      <c r="AK135" s="161" t="e">
        <f t="shared" ca="1" si="104"/>
        <v>#N/A</v>
      </c>
      <c r="AL135" s="286" t="e">
        <f t="shared" ca="1" si="82"/>
        <v>#N/A</v>
      </c>
      <c r="AM135" s="285">
        <f t="shared" si="83"/>
        <v>8.0438266398665428E-2</v>
      </c>
      <c r="AN135" s="99">
        <f t="shared" si="84"/>
        <v>8.0560999999999994E-2</v>
      </c>
      <c r="AO135" s="99">
        <f t="shared" si="105"/>
        <v>0.34110699999999999</v>
      </c>
      <c r="AP135" s="99" t="e">
        <f t="shared" ca="1" si="85"/>
        <v>#N/A</v>
      </c>
      <c r="AQ135" s="161" t="e">
        <f t="shared" ca="1" si="106"/>
        <v>#N/A</v>
      </c>
      <c r="AR135" s="286" t="e">
        <f t="shared" ca="1" si="86"/>
        <v>#N/A</v>
      </c>
      <c r="AS135" s="285">
        <f t="shared" si="87"/>
        <v>8.9473381741231484E-2</v>
      </c>
      <c r="AT135" s="99">
        <f t="shared" si="88"/>
        <v>8.9518E-2</v>
      </c>
      <c r="AU135" s="99">
        <f t="shared" si="107"/>
        <v>0.52194400000000007</v>
      </c>
      <c r="AV135" s="99" t="e">
        <f t="shared" ca="1" si="89"/>
        <v>#N/A</v>
      </c>
      <c r="AW135" s="161" t="e">
        <f t="shared" ca="1" si="108"/>
        <v>#N/A</v>
      </c>
      <c r="AX135" s="286" t="e">
        <f t="shared" ca="1" si="90"/>
        <v>#N/A</v>
      </c>
    </row>
    <row r="136" spans="2:64" x14ac:dyDescent="0.25">
      <c r="B136" s="104">
        <f t="shared" si="94"/>
        <v>7</v>
      </c>
      <c r="C136" s="94">
        <v>8</v>
      </c>
      <c r="D136" s="94">
        <f t="shared" si="62"/>
        <v>7.984268369494496E-2</v>
      </c>
      <c r="E136" s="94">
        <f t="shared" si="63"/>
        <v>7.9864000000000004E-2</v>
      </c>
      <c r="F136" s="94">
        <f t="shared" si="95"/>
        <v>0.64012900000000006</v>
      </c>
      <c r="G136" s="94" t="e">
        <f t="shared" ca="1" si="96"/>
        <v>#N/A</v>
      </c>
      <c r="H136" s="94" t="e">
        <f t="shared" ca="1" si="64"/>
        <v>#N/A</v>
      </c>
      <c r="I136" s="161" t="e">
        <f t="shared" ca="1" si="65"/>
        <v>#N/A</v>
      </c>
      <c r="J136" s="156" t="e">
        <f t="shared" ca="1" si="109"/>
        <v>#N/A</v>
      </c>
      <c r="K136" s="160" t="e">
        <f t="shared" ca="1" si="91"/>
        <v>#N/A</v>
      </c>
      <c r="L136" s="101" t="e">
        <f t="shared" ca="1" si="66"/>
        <v>#N/A</v>
      </c>
      <c r="M136" s="101" t="e">
        <f t="shared" ca="1" si="67"/>
        <v>#N/A</v>
      </c>
      <c r="N136" s="101" t="e">
        <f t="shared" ca="1" si="92"/>
        <v>#N/A</v>
      </c>
      <c r="O136" s="285">
        <f t="shared" si="68"/>
        <v>7.984268369494496E-2</v>
      </c>
      <c r="P136" s="99">
        <f t="shared" si="69"/>
        <v>7.9864000000000004E-2</v>
      </c>
      <c r="Q136" s="99">
        <f t="shared" si="97"/>
        <v>0.64012900000000006</v>
      </c>
      <c r="R136" s="99" t="e">
        <f t="shared" ca="1" si="70"/>
        <v>#N/A</v>
      </c>
      <c r="S136" s="161" t="e">
        <f t="shared" ca="1" si="98"/>
        <v>#N/A</v>
      </c>
      <c r="T136" s="286" t="e">
        <f t="shared" ca="1" si="71"/>
        <v>#N/A</v>
      </c>
      <c r="U136" s="285">
        <f t="shared" si="72"/>
        <v>6.4927497927352515E-2</v>
      </c>
      <c r="V136" s="99">
        <f t="shared" si="73"/>
        <v>6.4939999999999998E-2</v>
      </c>
      <c r="W136" s="99">
        <f t="shared" si="99"/>
        <v>0.85635499999999998</v>
      </c>
      <c r="X136" s="99" t="e">
        <f t="shared" ca="1" si="74"/>
        <v>#N/A</v>
      </c>
      <c r="Y136" s="161" t="e">
        <f t="shared" ca="1" si="100"/>
        <v>#N/A</v>
      </c>
      <c r="Z136" s="286" t="e">
        <f t="shared" ca="1" si="93"/>
        <v>#N/A</v>
      </c>
      <c r="AA136" s="285">
        <f t="shared" si="75"/>
        <v>5.9167900428949788E-2</v>
      </c>
      <c r="AB136" s="99">
        <f t="shared" si="76"/>
        <v>5.9976000000000002E-2</v>
      </c>
      <c r="AC136" s="99">
        <f t="shared" si="101"/>
        <v>0.41126000000000007</v>
      </c>
      <c r="AD136" s="99" t="e">
        <f t="shared" ca="1" si="77"/>
        <v>#N/A</v>
      </c>
      <c r="AE136" s="161" t="e">
        <f t="shared" ca="1" si="102"/>
        <v>#N/A</v>
      </c>
      <c r="AF136" s="286" t="e">
        <f t="shared" ca="1" si="78"/>
        <v>#N/A</v>
      </c>
      <c r="AG136" s="285">
        <f t="shared" si="79"/>
        <v>7.5489857480263323E-2</v>
      </c>
      <c r="AH136" s="99">
        <f t="shared" si="80"/>
        <v>7.5617000000000004E-2</v>
      </c>
      <c r="AI136" s="99">
        <f t="shared" si="103"/>
        <v>0.47363999999999995</v>
      </c>
      <c r="AJ136" s="99" t="e">
        <f t="shared" ca="1" si="81"/>
        <v>#N/A</v>
      </c>
      <c r="AK136" s="161" t="e">
        <f t="shared" ca="1" si="104"/>
        <v>#N/A</v>
      </c>
      <c r="AL136" s="286" t="e">
        <f t="shared" ca="1" si="82"/>
        <v>#N/A</v>
      </c>
      <c r="AM136" s="285">
        <f t="shared" si="83"/>
        <v>7.6983157623102635E-2</v>
      </c>
      <c r="AN136" s="99">
        <f t="shared" si="84"/>
        <v>7.7101000000000003E-2</v>
      </c>
      <c r="AO136" s="99">
        <f t="shared" si="105"/>
        <v>0.41820800000000002</v>
      </c>
      <c r="AP136" s="99" t="e">
        <f t="shared" ca="1" si="85"/>
        <v>#N/A</v>
      </c>
      <c r="AQ136" s="161" t="e">
        <f t="shared" ca="1" si="106"/>
        <v>#N/A</v>
      </c>
      <c r="AR136" s="286" t="e">
        <f t="shared" ca="1" si="86"/>
        <v>#N/A</v>
      </c>
      <c r="AS136" s="285">
        <f t="shared" si="87"/>
        <v>7.7474860050435537E-2</v>
      </c>
      <c r="AT136" s="99">
        <f t="shared" si="88"/>
        <v>7.7514E-2</v>
      </c>
      <c r="AU136" s="99">
        <f t="shared" si="107"/>
        <v>0.59945800000000005</v>
      </c>
      <c r="AV136" s="99" t="e">
        <f t="shared" ca="1" si="89"/>
        <v>#N/A</v>
      </c>
      <c r="AW136" s="161" t="e">
        <f t="shared" ca="1" si="108"/>
        <v>#N/A</v>
      </c>
      <c r="AX136" s="286" t="e">
        <f t="shared" ca="1" si="90"/>
        <v>#N/A</v>
      </c>
    </row>
    <row r="137" spans="2:64" x14ac:dyDescent="0.25">
      <c r="B137" s="104">
        <f t="shared" si="94"/>
        <v>8</v>
      </c>
      <c r="C137" s="94">
        <v>9</v>
      </c>
      <c r="D137" s="94">
        <f t="shared" si="62"/>
        <v>6.6236325197247689E-2</v>
      </c>
      <c r="E137" s="94">
        <f t="shared" si="63"/>
        <v>6.6253999999999993E-2</v>
      </c>
      <c r="F137" s="94">
        <f t="shared" si="95"/>
        <v>0.70638300000000009</v>
      </c>
      <c r="G137" s="94" t="e">
        <f t="shared" ca="1" si="96"/>
        <v>#N/A</v>
      </c>
      <c r="H137" s="94" t="e">
        <f t="shared" ca="1" si="64"/>
        <v>#N/A</v>
      </c>
      <c r="I137" s="161" t="e">
        <f t="shared" ref="I137:I187" ca="1" si="110">IF((NOT(J137="n/a")),J137,ROUND(G137+I136,0))</f>
        <v>#N/A</v>
      </c>
      <c r="J137" s="156" t="e">
        <f t="shared" ca="1" si="109"/>
        <v>#N/A</v>
      </c>
      <c r="K137" s="160" t="e">
        <f t="shared" ca="1" si="91"/>
        <v>#N/A</v>
      </c>
      <c r="L137" s="101" t="e">
        <f t="shared" ca="1" si="66"/>
        <v>#N/A</v>
      </c>
      <c r="M137" s="101" t="e">
        <f t="shared" ca="1" si="67"/>
        <v>#N/A</v>
      </c>
      <c r="N137" s="101" t="e">
        <f t="shared" ca="1" si="92"/>
        <v>#N/A</v>
      </c>
      <c r="O137" s="285">
        <f t="shared" si="68"/>
        <v>6.6236325197247689E-2</v>
      </c>
      <c r="P137" s="99">
        <f t="shared" si="69"/>
        <v>6.6253999999999993E-2</v>
      </c>
      <c r="Q137" s="99">
        <f t="shared" si="97"/>
        <v>0.70638300000000009</v>
      </c>
      <c r="R137" s="99" t="e">
        <f t="shared" ca="1" si="70"/>
        <v>#N/A</v>
      </c>
      <c r="S137" s="161" t="e">
        <f t="shared" ca="1" si="98"/>
        <v>#N/A</v>
      </c>
      <c r="T137" s="286" t="e">
        <f t="shared" ca="1" si="71"/>
        <v>#N/A</v>
      </c>
      <c r="U137" s="285">
        <f t="shared" si="72"/>
        <v>4.4872095674499402E-2</v>
      </c>
      <c r="V137" s="99">
        <f t="shared" si="73"/>
        <v>4.4880999999999997E-2</v>
      </c>
      <c r="W137" s="99">
        <f t="shared" si="99"/>
        <v>0.90123599999999993</v>
      </c>
      <c r="X137" s="99" t="e">
        <f t="shared" ca="1" si="74"/>
        <v>#N/A</v>
      </c>
      <c r="Y137" s="161" t="e">
        <f t="shared" ca="1" si="100"/>
        <v>#N/A</v>
      </c>
      <c r="Z137" s="286" t="e">
        <f t="shared" ca="1" si="93"/>
        <v>#N/A</v>
      </c>
      <c r="AA137" s="285">
        <f t="shared" si="75"/>
        <v>5.4493775913654417E-2</v>
      </c>
      <c r="AB137" s="99">
        <f t="shared" si="76"/>
        <v>5.5238000000000002E-2</v>
      </c>
      <c r="AC137" s="99">
        <f t="shared" si="101"/>
        <v>0.46649800000000008</v>
      </c>
      <c r="AD137" s="99" t="e">
        <f t="shared" ca="1" si="77"/>
        <v>#N/A</v>
      </c>
      <c r="AE137" s="161" t="e">
        <f t="shared" ca="1" si="102"/>
        <v>#N/A</v>
      </c>
      <c r="AF137" s="286" t="e">
        <f t="shared" ca="1" si="78"/>
        <v>#N/A</v>
      </c>
      <c r="AG137" s="285">
        <f t="shared" si="79"/>
        <v>6.7973981865186578E-2</v>
      </c>
      <c r="AH137" s="99">
        <f t="shared" si="80"/>
        <v>6.8087999999999996E-2</v>
      </c>
      <c r="AI137" s="99">
        <f t="shared" si="103"/>
        <v>0.54172799999999999</v>
      </c>
      <c r="AJ137" s="99" t="e">
        <f t="shared" ca="1" si="81"/>
        <v>#N/A</v>
      </c>
      <c r="AK137" s="161" t="e">
        <f t="shared" ca="1" si="104"/>
        <v>#N/A</v>
      </c>
      <c r="AL137" s="286" t="e">
        <f t="shared" ca="1" si="82"/>
        <v>#N/A</v>
      </c>
      <c r="AM137" s="285">
        <f t="shared" si="83"/>
        <v>7.124390340542415E-2</v>
      </c>
      <c r="AN137" s="99">
        <f t="shared" si="84"/>
        <v>7.1353E-2</v>
      </c>
      <c r="AO137" s="99">
        <f t="shared" si="105"/>
        <v>0.48956100000000002</v>
      </c>
      <c r="AP137" s="99" t="e">
        <f t="shared" ca="1" si="85"/>
        <v>#N/A</v>
      </c>
      <c r="AQ137" s="161" t="e">
        <f t="shared" ca="1" si="106"/>
        <v>#N/A</v>
      </c>
      <c r="AR137" s="286" t="e">
        <f t="shared" ca="1" si="86"/>
        <v>#N/A</v>
      </c>
      <c r="AS137" s="285">
        <f t="shared" si="87"/>
        <v>6.5782767622335425E-2</v>
      </c>
      <c r="AT137" s="99">
        <f t="shared" si="88"/>
        <v>6.5816E-2</v>
      </c>
      <c r="AU137" s="99">
        <f t="shared" si="107"/>
        <v>0.66527400000000003</v>
      </c>
      <c r="AV137" s="99" t="e">
        <f t="shared" ca="1" si="89"/>
        <v>#N/A</v>
      </c>
      <c r="AW137" s="161" t="e">
        <f t="shared" ca="1" si="108"/>
        <v>#N/A</v>
      </c>
      <c r="AX137" s="286" t="e">
        <f t="shared" ca="1" si="90"/>
        <v>#N/A</v>
      </c>
    </row>
    <row r="138" spans="2:64" x14ac:dyDescent="0.25">
      <c r="B138" s="104">
        <f t="shared" si="94"/>
        <v>9</v>
      </c>
      <c r="C138" s="94">
        <v>10</v>
      </c>
      <c r="D138" s="94">
        <f t="shared" si="62"/>
        <v>5.426697552751053E-2</v>
      </c>
      <c r="E138" s="94">
        <f t="shared" si="63"/>
        <v>5.4281999999999997E-2</v>
      </c>
      <c r="F138" s="94">
        <f t="shared" si="95"/>
        <v>0.76066500000000015</v>
      </c>
      <c r="G138" s="94" t="e">
        <f t="shared" ca="1" si="96"/>
        <v>#N/A</v>
      </c>
      <c r="H138" s="94" t="e">
        <f t="shared" ca="1" si="64"/>
        <v>#N/A</v>
      </c>
      <c r="I138" s="161" t="e">
        <f t="shared" ca="1" si="110"/>
        <v>#N/A</v>
      </c>
      <c r="J138" s="156" t="e">
        <f t="shared" ca="1" si="109"/>
        <v>#N/A</v>
      </c>
      <c r="K138" s="160" t="e">
        <f t="shared" ca="1" si="91"/>
        <v>#N/A</v>
      </c>
      <c r="L138" s="101" t="e">
        <f t="shared" ca="1" si="66"/>
        <v>#N/A</v>
      </c>
      <c r="M138" s="101" t="e">
        <f t="shared" ca="1" si="67"/>
        <v>#N/A</v>
      </c>
      <c r="N138" s="101" t="e">
        <f t="shared" ca="1" si="92"/>
        <v>#N/A</v>
      </c>
      <c r="O138" s="285">
        <f t="shared" si="68"/>
        <v>5.426697552751053E-2</v>
      </c>
      <c r="P138" s="99">
        <f t="shared" si="69"/>
        <v>5.4281999999999997E-2</v>
      </c>
      <c r="Q138" s="99">
        <f t="shared" si="97"/>
        <v>0.76066500000000015</v>
      </c>
      <c r="R138" s="99" t="e">
        <f t="shared" ca="1" si="70"/>
        <v>#N/A</v>
      </c>
      <c r="S138" s="161" t="e">
        <f t="shared" ca="1" si="98"/>
        <v>#N/A</v>
      </c>
      <c r="T138" s="286" t="e">
        <f t="shared" ca="1" si="71"/>
        <v>#N/A</v>
      </c>
      <c r="U138" s="285">
        <f t="shared" si="72"/>
        <v>3.0731634933393429E-2</v>
      </c>
      <c r="V138" s="99">
        <f t="shared" si="73"/>
        <v>3.0738000000000001E-2</v>
      </c>
      <c r="W138" s="99">
        <f t="shared" si="99"/>
        <v>0.93197399999999997</v>
      </c>
      <c r="X138" s="99" t="e">
        <f t="shared" ca="1" si="74"/>
        <v>#N/A</v>
      </c>
      <c r="Y138" s="161" t="e">
        <f t="shared" ca="1" si="100"/>
        <v>#N/A</v>
      </c>
      <c r="Z138" s="286" t="e">
        <f t="shared" ca="1" si="93"/>
        <v>#N/A</v>
      </c>
      <c r="AA138" s="285">
        <f t="shared" si="75"/>
        <v>4.9709554295967538E-2</v>
      </c>
      <c r="AB138" s="99">
        <f t="shared" si="76"/>
        <v>5.0388000000000002E-2</v>
      </c>
      <c r="AC138" s="99">
        <f t="shared" si="101"/>
        <v>0.51688600000000007</v>
      </c>
      <c r="AD138" s="99" t="e">
        <f t="shared" ca="1" si="77"/>
        <v>#N/A</v>
      </c>
      <c r="AE138" s="161" t="e">
        <f t="shared" ca="1" si="102"/>
        <v>#N/A</v>
      </c>
      <c r="AF138" s="286" t="e">
        <f t="shared" ca="1" si="78"/>
        <v>#N/A</v>
      </c>
      <c r="AG138" s="285">
        <f t="shared" si="79"/>
        <v>6.0199255397116104E-2</v>
      </c>
      <c r="AH138" s="99">
        <f t="shared" si="80"/>
        <v>6.0299999999999999E-2</v>
      </c>
      <c r="AI138" s="99">
        <f t="shared" si="103"/>
        <v>0.60202800000000001</v>
      </c>
      <c r="AJ138" s="99" t="e">
        <f t="shared" ca="1" si="81"/>
        <v>#N/A</v>
      </c>
      <c r="AK138" s="161" t="e">
        <f t="shared" ca="1" si="104"/>
        <v>#N/A</v>
      </c>
      <c r="AL138" s="286" t="e">
        <f t="shared" ca="1" si="82"/>
        <v>#N/A</v>
      </c>
      <c r="AM138" s="285">
        <f t="shared" si="83"/>
        <v>6.445867259441472E-2</v>
      </c>
      <c r="AN138" s="99">
        <f t="shared" si="84"/>
        <v>6.4557000000000003E-2</v>
      </c>
      <c r="AO138" s="99">
        <f t="shared" si="105"/>
        <v>0.554118</v>
      </c>
      <c r="AP138" s="99" t="e">
        <f t="shared" ca="1" si="85"/>
        <v>#N/A</v>
      </c>
      <c r="AQ138" s="161" t="e">
        <f t="shared" ca="1" si="106"/>
        <v>#N/A</v>
      </c>
      <c r="AR138" s="286" t="e">
        <f t="shared" ca="1" si="86"/>
        <v>#N/A</v>
      </c>
      <c r="AS138" s="285">
        <f t="shared" si="87"/>
        <v>5.5199570879851272E-2</v>
      </c>
      <c r="AT138" s="99">
        <f t="shared" si="88"/>
        <v>5.5226999999999998E-2</v>
      </c>
      <c r="AU138" s="99">
        <f t="shared" si="107"/>
        <v>0.72050100000000006</v>
      </c>
      <c r="AV138" s="99" t="e">
        <f t="shared" ca="1" si="89"/>
        <v>#N/A</v>
      </c>
      <c r="AW138" s="161" t="e">
        <f t="shared" ca="1" si="108"/>
        <v>#N/A</v>
      </c>
      <c r="AX138" s="286" t="e">
        <f t="shared" ca="1" si="90"/>
        <v>#N/A</v>
      </c>
    </row>
    <row r="139" spans="2:64" x14ac:dyDescent="0.25">
      <c r="B139" s="104">
        <f t="shared" si="94"/>
        <v>10</v>
      </c>
      <c r="C139" s="94">
        <v>11</v>
      </c>
      <c r="D139" s="94">
        <f t="shared" si="62"/>
        <v>4.4142780979517522E-2</v>
      </c>
      <c r="E139" s="94">
        <f t="shared" si="63"/>
        <v>4.4155E-2</v>
      </c>
      <c r="F139" s="94">
        <f t="shared" si="95"/>
        <v>0.80482000000000009</v>
      </c>
      <c r="G139" s="94" t="e">
        <f t="shared" ca="1" si="96"/>
        <v>#N/A</v>
      </c>
      <c r="H139" s="94" t="e">
        <f t="shared" ca="1" si="64"/>
        <v>#N/A</v>
      </c>
      <c r="I139" s="161" t="e">
        <f t="shared" ca="1" si="110"/>
        <v>#N/A</v>
      </c>
      <c r="J139" s="156" t="e">
        <f t="shared" ca="1" si="109"/>
        <v>#N/A</v>
      </c>
      <c r="K139" s="160" t="e">
        <f t="shared" ca="1" si="91"/>
        <v>#N/A</v>
      </c>
      <c r="L139" s="101" t="e">
        <f t="shared" ca="1" si="66"/>
        <v>#N/A</v>
      </c>
      <c r="M139" s="101" t="e">
        <f t="shared" ca="1" si="67"/>
        <v>#N/A</v>
      </c>
      <c r="N139" s="101" t="e">
        <f t="shared" ca="1" si="92"/>
        <v>#N/A</v>
      </c>
      <c r="O139" s="285">
        <f t="shared" si="68"/>
        <v>4.4142780979517522E-2</v>
      </c>
      <c r="P139" s="99">
        <f t="shared" si="69"/>
        <v>4.4155E-2</v>
      </c>
      <c r="Q139" s="99">
        <f t="shared" si="97"/>
        <v>0.80482000000000009</v>
      </c>
      <c r="R139" s="99" t="e">
        <f t="shared" ca="1" si="70"/>
        <v>#N/A</v>
      </c>
      <c r="S139" s="161" t="e">
        <f t="shared" ca="1" si="98"/>
        <v>#N/A</v>
      </c>
      <c r="T139" s="286" t="e">
        <f t="shared" ca="1" si="71"/>
        <v>#N/A</v>
      </c>
      <c r="U139" s="285">
        <f t="shared" si="72"/>
        <v>2.0984831053098434E-2</v>
      </c>
      <c r="V139" s="99">
        <f t="shared" si="73"/>
        <v>2.0989000000000001E-2</v>
      </c>
      <c r="W139" s="99">
        <f t="shared" si="99"/>
        <v>0.952963</v>
      </c>
      <c r="X139" s="99" t="e">
        <f t="shared" ca="1" si="74"/>
        <v>#N/A</v>
      </c>
      <c r="Y139" s="161" t="e">
        <f t="shared" ca="1" si="100"/>
        <v>#N/A</v>
      </c>
      <c r="Z139" s="286" t="e">
        <f t="shared" ca="1" si="93"/>
        <v>#N/A</v>
      </c>
      <c r="AA139" s="285">
        <f t="shared" si="75"/>
        <v>4.5069487747809105E-2</v>
      </c>
      <c r="AB139" s="99">
        <f t="shared" si="76"/>
        <v>4.5685000000000003E-2</v>
      </c>
      <c r="AC139" s="99">
        <f t="shared" si="101"/>
        <v>0.56257100000000004</v>
      </c>
      <c r="AD139" s="99" t="e">
        <f t="shared" ca="1" si="77"/>
        <v>#N/A</v>
      </c>
      <c r="AE139" s="161" t="e">
        <f t="shared" ca="1" si="102"/>
        <v>#N/A</v>
      </c>
      <c r="AF139" s="286" t="e">
        <f t="shared" ca="1" si="78"/>
        <v>#N/A</v>
      </c>
      <c r="AG139" s="285">
        <f t="shared" si="79"/>
        <v>5.2735342931846403E-2</v>
      </c>
      <c r="AH139" s="99">
        <f t="shared" si="80"/>
        <v>5.2824000000000003E-2</v>
      </c>
      <c r="AI139" s="99">
        <f t="shared" si="103"/>
        <v>0.65485199999999999</v>
      </c>
      <c r="AJ139" s="99" t="e">
        <f t="shared" ca="1" si="81"/>
        <v>#N/A</v>
      </c>
      <c r="AK139" s="161" t="e">
        <f t="shared" ca="1" si="104"/>
        <v>#N/A</v>
      </c>
      <c r="AL139" s="286" t="e">
        <f t="shared" ca="1" si="82"/>
        <v>#N/A</v>
      </c>
      <c r="AM139" s="285">
        <f t="shared" si="83"/>
        <v>5.7423145761915054E-2</v>
      </c>
      <c r="AN139" s="99">
        <f t="shared" si="84"/>
        <v>5.7511E-2</v>
      </c>
      <c r="AO139" s="99">
        <f t="shared" si="105"/>
        <v>0.61162899999999998</v>
      </c>
      <c r="AP139" s="99" t="e">
        <f t="shared" ca="1" si="85"/>
        <v>#N/A</v>
      </c>
      <c r="AQ139" s="161" t="e">
        <f t="shared" ca="1" si="106"/>
        <v>#N/A</v>
      </c>
      <c r="AR139" s="286" t="e">
        <f t="shared" ca="1" si="86"/>
        <v>#N/A</v>
      </c>
      <c r="AS139" s="285">
        <f t="shared" si="87"/>
        <v>4.6000045624271471E-2</v>
      </c>
      <c r="AT139" s="99">
        <f t="shared" si="88"/>
        <v>4.6023000000000001E-2</v>
      </c>
      <c r="AU139" s="99">
        <f t="shared" si="107"/>
        <v>0.76652400000000009</v>
      </c>
      <c r="AV139" s="99" t="e">
        <f t="shared" ca="1" si="89"/>
        <v>#N/A</v>
      </c>
      <c r="AW139" s="161" t="e">
        <f t="shared" ca="1" si="108"/>
        <v>#N/A</v>
      </c>
      <c r="AX139" s="286" t="e">
        <f t="shared" ca="1" si="90"/>
        <v>#N/A</v>
      </c>
    </row>
    <row r="140" spans="2:64" x14ac:dyDescent="0.25">
      <c r="B140" s="104">
        <f t="shared" si="94"/>
        <v>11</v>
      </c>
      <c r="C140" s="94">
        <v>12</v>
      </c>
      <c r="D140" s="94">
        <f t="shared" si="62"/>
        <v>3.5773315337859504E-2</v>
      </c>
      <c r="E140" s="94">
        <f t="shared" si="63"/>
        <v>3.5783000000000002E-2</v>
      </c>
      <c r="F140" s="94">
        <f t="shared" si="95"/>
        <v>0.8406030000000001</v>
      </c>
      <c r="G140" s="94" t="e">
        <f t="shared" ca="1" si="96"/>
        <v>#N/A</v>
      </c>
      <c r="H140" s="94" t="e">
        <f t="shared" ca="1" si="64"/>
        <v>#N/A</v>
      </c>
      <c r="I140" s="161" t="e">
        <f t="shared" ca="1" si="110"/>
        <v>#N/A</v>
      </c>
      <c r="J140" s="156" t="e">
        <f t="shared" ca="1" si="109"/>
        <v>#N/A</v>
      </c>
      <c r="K140" s="160" t="e">
        <f t="shared" ca="1" si="91"/>
        <v>#N/A</v>
      </c>
      <c r="L140" s="101" t="e">
        <f t="shared" ca="1" si="66"/>
        <v>#N/A</v>
      </c>
      <c r="M140" s="101" t="e">
        <f t="shared" ca="1" si="67"/>
        <v>#N/A</v>
      </c>
      <c r="N140" s="101" t="e">
        <f t="shared" ca="1" si="92"/>
        <v>#N/A</v>
      </c>
      <c r="O140" s="285">
        <f t="shared" si="68"/>
        <v>3.5773315337859504E-2</v>
      </c>
      <c r="P140" s="99">
        <f t="shared" si="69"/>
        <v>3.5783000000000002E-2</v>
      </c>
      <c r="Q140" s="99">
        <f t="shared" si="97"/>
        <v>0.8406030000000001</v>
      </c>
      <c r="R140" s="99" t="e">
        <f t="shared" ca="1" si="70"/>
        <v>#N/A</v>
      </c>
      <c r="S140" s="161" t="e">
        <f t="shared" ca="1" si="98"/>
        <v>#N/A</v>
      </c>
      <c r="T140" s="286" t="e">
        <f t="shared" ca="1" si="71"/>
        <v>#N/A</v>
      </c>
      <c r="U140" s="285">
        <f t="shared" si="72"/>
        <v>1.4340851211402663E-2</v>
      </c>
      <c r="V140" s="99">
        <f t="shared" si="73"/>
        <v>1.4344000000000001E-2</v>
      </c>
      <c r="W140" s="99">
        <f t="shared" si="99"/>
        <v>0.96730700000000003</v>
      </c>
      <c r="X140" s="99" t="e">
        <f t="shared" ca="1" si="74"/>
        <v>#N/A</v>
      </c>
      <c r="Y140" s="161" t="e">
        <f t="shared" ca="1" si="100"/>
        <v>#N/A</v>
      </c>
      <c r="Z140" s="286" t="e">
        <f t="shared" ca="1" si="93"/>
        <v>#N/A</v>
      </c>
      <c r="AA140" s="285">
        <f t="shared" si="75"/>
        <v>4.070757001213849E-2</v>
      </c>
      <c r="AB140" s="99">
        <f t="shared" si="76"/>
        <v>4.1263000000000001E-2</v>
      </c>
      <c r="AC140" s="99">
        <f t="shared" si="101"/>
        <v>0.60383400000000009</v>
      </c>
      <c r="AD140" s="99" t="e">
        <f t="shared" ca="1" si="77"/>
        <v>#N/A</v>
      </c>
      <c r="AE140" s="161" t="e">
        <f t="shared" ca="1" si="102"/>
        <v>#N/A</v>
      </c>
      <c r="AF140" s="286" t="e">
        <f t="shared" ca="1" si="78"/>
        <v>#N/A</v>
      </c>
      <c r="AG140" s="285">
        <f t="shared" si="79"/>
        <v>4.586850700135181E-2</v>
      </c>
      <c r="AH140" s="99">
        <f t="shared" si="80"/>
        <v>4.5946000000000001E-2</v>
      </c>
      <c r="AI140" s="99">
        <f t="shared" si="103"/>
        <v>0.70079800000000003</v>
      </c>
      <c r="AJ140" s="99" t="e">
        <f t="shared" ca="1" si="81"/>
        <v>#N/A</v>
      </c>
      <c r="AK140" s="161" t="e">
        <f t="shared" ca="1" si="104"/>
        <v>#N/A</v>
      </c>
      <c r="AL140" s="286" t="e">
        <f t="shared" ca="1" si="82"/>
        <v>#N/A</v>
      </c>
      <c r="AM140" s="285">
        <f t="shared" si="83"/>
        <v>5.0610825129264535E-2</v>
      </c>
      <c r="AN140" s="99">
        <f t="shared" si="84"/>
        <v>5.0687999999999997E-2</v>
      </c>
      <c r="AO140" s="99">
        <f t="shared" si="105"/>
        <v>0.66231699999999993</v>
      </c>
      <c r="AP140" s="99" t="e">
        <f t="shared" ca="1" si="85"/>
        <v>#N/A</v>
      </c>
      <c r="AQ140" s="161" t="e">
        <f t="shared" ca="1" si="106"/>
        <v>#N/A</v>
      </c>
      <c r="AR140" s="286" t="e">
        <f t="shared" ca="1" si="86"/>
        <v>#N/A</v>
      </c>
      <c r="AS140" s="285">
        <f t="shared" si="87"/>
        <v>3.8190782877931866E-2</v>
      </c>
      <c r="AT140" s="99">
        <f t="shared" si="88"/>
        <v>3.8210000000000001E-2</v>
      </c>
      <c r="AU140" s="99">
        <f t="shared" si="107"/>
        <v>0.80473400000000006</v>
      </c>
      <c r="AV140" s="99" t="e">
        <f t="shared" ca="1" si="89"/>
        <v>#N/A</v>
      </c>
      <c r="AW140" s="161" t="e">
        <f t="shared" ca="1" si="108"/>
        <v>#N/A</v>
      </c>
      <c r="AX140" s="286" t="e">
        <f t="shared" ca="1" si="90"/>
        <v>#N/A</v>
      </c>
      <c r="BG140" s="345"/>
      <c r="BH140" s="345"/>
      <c r="BI140" s="345"/>
      <c r="BJ140" s="345"/>
      <c r="BK140" s="345"/>
      <c r="BL140" s="345"/>
    </row>
    <row r="141" spans="2:64" x14ac:dyDescent="0.25">
      <c r="B141" s="104">
        <f t="shared" si="94"/>
        <v>12</v>
      </c>
      <c r="C141" s="94">
        <v>13</v>
      </c>
      <c r="D141" s="94">
        <f t="shared" si="62"/>
        <v>2.8948107648074713E-2</v>
      </c>
      <c r="E141" s="94">
        <f t="shared" si="63"/>
        <v>2.8955999999999999E-2</v>
      </c>
      <c r="F141" s="94">
        <f t="shared" si="95"/>
        <v>0.86955900000000008</v>
      </c>
      <c r="G141" s="94" t="e">
        <f t="shared" ca="1" si="96"/>
        <v>#N/A</v>
      </c>
      <c r="H141" s="94" t="e">
        <f t="shared" ca="1" si="64"/>
        <v>#N/A</v>
      </c>
      <c r="I141" s="161" t="e">
        <f t="shared" ca="1" si="110"/>
        <v>#N/A</v>
      </c>
      <c r="J141" s="156" t="e">
        <f t="shared" ca="1" si="109"/>
        <v>#N/A</v>
      </c>
      <c r="K141" s="160" t="e">
        <f t="shared" ca="1" si="91"/>
        <v>#N/A</v>
      </c>
      <c r="L141" s="101" t="e">
        <f t="shared" ca="1" si="66"/>
        <v>#N/A</v>
      </c>
      <c r="M141" s="101" t="e">
        <f t="shared" ca="1" si="67"/>
        <v>#N/A</v>
      </c>
      <c r="N141" s="101" t="e">
        <f t="shared" ca="1" si="92"/>
        <v>#N/A</v>
      </c>
      <c r="O141" s="285">
        <f t="shared" si="68"/>
        <v>2.8948107648074713E-2</v>
      </c>
      <c r="P141" s="99">
        <f t="shared" si="69"/>
        <v>2.8955999999999999E-2</v>
      </c>
      <c r="Q141" s="99">
        <f t="shared" si="97"/>
        <v>0.86955900000000008</v>
      </c>
      <c r="R141" s="99" t="e">
        <f t="shared" ca="1" si="70"/>
        <v>#N/A</v>
      </c>
      <c r="S141" s="161" t="e">
        <f t="shared" ca="1" si="98"/>
        <v>#N/A</v>
      </c>
      <c r="T141" s="286" t="e">
        <f t="shared" ca="1" si="71"/>
        <v>#N/A</v>
      </c>
      <c r="U141" s="285">
        <f t="shared" si="72"/>
        <v>9.8315250830436716E-3</v>
      </c>
      <c r="V141" s="99">
        <f t="shared" si="73"/>
        <v>9.8329999999999997E-3</v>
      </c>
      <c r="W141" s="99">
        <f t="shared" si="99"/>
        <v>0.97714000000000001</v>
      </c>
      <c r="X141" s="99" t="e">
        <f t="shared" ca="1" si="74"/>
        <v>#N/A</v>
      </c>
      <c r="Y141" s="161" t="e">
        <f t="shared" ca="1" si="100"/>
        <v>#N/A</v>
      </c>
      <c r="Z141" s="286" t="e">
        <f t="shared" ca="1" si="93"/>
        <v>#N/A</v>
      </c>
      <c r="AA141" s="285">
        <f t="shared" si="75"/>
        <v>3.6685467046749132E-2</v>
      </c>
      <c r="AB141" s="99">
        <f t="shared" si="76"/>
        <v>3.7185999999999997E-2</v>
      </c>
      <c r="AC141" s="99">
        <f t="shared" si="101"/>
        <v>0.64102000000000015</v>
      </c>
      <c r="AD141" s="99" t="e">
        <f t="shared" ca="1" si="77"/>
        <v>#N/A</v>
      </c>
      <c r="AE141" s="161" t="e">
        <f t="shared" ca="1" si="102"/>
        <v>#N/A</v>
      </c>
      <c r="AF141" s="286" t="e">
        <f t="shared" ca="1" si="78"/>
        <v>#N/A</v>
      </c>
      <c r="AG141" s="285">
        <f t="shared" si="79"/>
        <v>3.9714540172914051E-2</v>
      </c>
      <c r="AH141" s="99">
        <f t="shared" si="80"/>
        <v>3.9780999999999997E-2</v>
      </c>
      <c r="AI141" s="99">
        <f t="shared" si="103"/>
        <v>0.74057899999999999</v>
      </c>
      <c r="AJ141" s="99" t="e">
        <f t="shared" ca="1" si="81"/>
        <v>#N/A</v>
      </c>
      <c r="AK141" s="161" t="e">
        <f t="shared" ca="1" si="104"/>
        <v>#N/A</v>
      </c>
      <c r="AL141" s="286" t="e">
        <f t="shared" ca="1" si="82"/>
        <v>#N/A</v>
      </c>
      <c r="AM141" s="285">
        <f t="shared" si="83"/>
        <v>4.4278177234861243E-2</v>
      </c>
      <c r="AN141" s="99">
        <f t="shared" si="84"/>
        <v>4.4345999999999997E-2</v>
      </c>
      <c r="AO141" s="99">
        <f t="shared" si="105"/>
        <v>0.70666299999999993</v>
      </c>
      <c r="AP141" s="99" t="e">
        <f t="shared" ca="1" si="85"/>
        <v>#N/A</v>
      </c>
      <c r="AQ141" s="161" t="e">
        <f t="shared" ca="1" si="106"/>
        <v>#N/A</v>
      </c>
      <c r="AR141" s="286" t="e">
        <f t="shared" ca="1" si="86"/>
        <v>#N/A</v>
      </c>
      <c r="AS141" s="285">
        <f t="shared" si="87"/>
        <v>3.1655690048766165E-2</v>
      </c>
      <c r="AT141" s="99">
        <f t="shared" si="88"/>
        <v>3.1671999999999999E-2</v>
      </c>
      <c r="AU141" s="99">
        <f t="shared" si="107"/>
        <v>0.83640600000000009</v>
      </c>
      <c r="AV141" s="99" t="e">
        <f t="shared" ca="1" si="89"/>
        <v>#N/A</v>
      </c>
      <c r="AW141" s="161" t="e">
        <f t="shared" ca="1" si="108"/>
        <v>#N/A</v>
      </c>
      <c r="AX141" s="286" t="e">
        <f t="shared" ca="1" si="90"/>
        <v>#N/A</v>
      </c>
    </row>
    <row r="142" spans="2:64" x14ac:dyDescent="0.25">
      <c r="B142" s="104">
        <f t="shared" si="94"/>
        <v>13</v>
      </c>
      <c r="C142" s="94">
        <v>14</v>
      </c>
      <c r="D142" s="94">
        <f t="shared" si="62"/>
        <v>2.3426388510166384E-2</v>
      </c>
      <c r="E142" s="94">
        <f t="shared" si="63"/>
        <v>2.3432999999999999E-2</v>
      </c>
      <c r="F142" s="94">
        <f t="shared" si="95"/>
        <v>0.89299200000000012</v>
      </c>
      <c r="G142" s="94" t="e">
        <f t="shared" ca="1" si="96"/>
        <v>#N/A</v>
      </c>
      <c r="H142" s="94" t="e">
        <f t="shared" ca="1" si="64"/>
        <v>#N/A</v>
      </c>
      <c r="I142" s="161" t="e">
        <f t="shared" ca="1" si="110"/>
        <v>#N/A</v>
      </c>
      <c r="J142" s="156" t="e">
        <f t="shared" ca="1" si="109"/>
        <v>#N/A</v>
      </c>
      <c r="K142" s="160" t="e">
        <f t="shared" ca="1" si="91"/>
        <v>#N/A</v>
      </c>
      <c r="L142" s="101" t="e">
        <f t="shared" ca="1" si="66"/>
        <v>#N/A</v>
      </c>
      <c r="M142" s="101" t="e">
        <f t="shared" ca="1" si="67"/>
        <v>#N/A</v>
      </c>
      <c r="N142" s="101" t="e">
        <f t="shared" ca="1" si="92"/>
        <v>#N/A</v>
      </c>
      <c r="O142" s="285">
        <f t="shared" si="68"/>
        <v>2.3426388510166384E-2</v>
      </c>
      <c r="P142" s="99">
        <f t="shared" si="69"/>
        <v>2.3432999999999999E-2</v>
      </c>
      <c r="Q142" s="99">
        <f t="shared" si="97"/>
        <v>0.89299200000000012</v>
      </c>
      <c r="R142" s="99" t="e">
        <f t="shared" ca="1" si="70"/>
        <v>#N/A</v>
      </c>
      <c r="S142" s="161" t="e">
        <f t="shared" ca="1" si="98"/>
        <v>#N/A</v>
      </c>
      <c r="T142" s="286" t="e">
        <f t="shared" ca="1" si="71"/>
        <v>#N/A</v>
      </c>
      <c r="U142" s="285">
        <f t="shared" si="72"/>
        <v>6.7715279403981416E-3</v>
      </c>
      <c r="V142" s="99">
        <f t="shared" si="73"/>
        <v>6.7730000000000004E-3</v>
      </c>
      <c r="W142" s="99">
        <f t="shared" si="99"/>
        <v>0.98391300000000004</v>
      </c>
      <c r="X142" s="99" t="e">
        <f t="shared" ca="1" si="74"/>
        <v>#N/A</v>
      </c>
      <c r="Y142" s="161" t="e">
        <f t="shared" ca="1" si="100"/>
        <v>#N/A</v>
      </c>
      <c r="Z142" s="286" t="e">
        <f t="shared" ca="1" si="93"/>
        <v>#N/A</v>
      </c>
      <c r="AA142" s="285">
        <f t="shared" si="75"/>
        <v>3.3022213274987701E-2</v>
      </c>
      <c r="AB142" s="99">
        <f t="shared" si="76"/>
        <v>3.3473000000000003E-2</v>
      </c>
      <c r="AC142" s="99">
        <f t="shared" si="101"/>
        <v>0.67449300000000012</v>
      </c>
      <c r="AD142" s="99" t="e">
        <f t="shared" ca="1" si="77"/>
        <v>#N/A</v>
      </c>
      <c r="AE142" s="161" t="e">
        <f t="shared" ca="1" si="102"/>
        <v>#N/A</v>
      </c>
      <c r="AF142" s="286" t="e">
        <f t="shared" ca="1" si="78"/>
        <v>#N/A</v>
      </c>
      <c r="AG142" s="285">
        <f t="shared" si="79"/>
        <v>3.4291615897439523E-2</v>
      </c>
      <c r="AH142" s="99">
        <f t="shared" si="80"/>
        <v>3.4348999999999998E-2</v>
      </c>
      <c r="AI142" s="99">
        <f t="shared" si="103"/>
        <v>0.77492799999999995</v>
      </c>
      <c r="AJ142" s="99" t="e">
        <f t="shared" ca="1" si="81"/>
        <v>#N/A</v>
      </c>
      <c r="AK142" s="161" t="e">
        <f t="shared" ca="1" si="104"/>
        <v>#N/A</v>
      </c>
      <c r="AL142" s="286" t="e">
        <f t="shared" ca="1" si="82"/>
        <v>#N/A</v>
      </c>
      <c r="AM142" s="285">
        <f t="shared" si="83"/>
        <v>3.8542980052993947E-2</v>
      </c>
      <c r="AN142" s="99">
        <f t="shared" si="84"/>
        <v>3.8601999999999997E-2</v>
      </c>
      <c r="AO142" s="99">
        <f t="shared" si="105"/>
        <v>0.74526499999999996</v>
      </c>
      <c r="AP142" s="99" t="e">
        <f t="shared" ca="1" si="85"/>
        <v>#N/A</v>
      </c>
      <c r="AQ142" s="161" t="e">
        <f t="shared" ca="1" si="106"/>
        <v>#N/A</v>
      </c>
      <c r="AR142" s="286" t="e">
        <f t="shared" ca="1" si="86"/>
        <v>#N/A</v>
      </c>
      <c r="AS142" s="285">
        <f t="shared" si="87"/>
        <v>2.6233462435251379E-2</v>
      </c>
      <c r="AT142" s="99">
        <f t="shared" si="88"/>
        <v>2.6246999999999999E-2</v>
      </c>
      <c r="AU142" s="99">
        <f t="shared" si="107"/>
        <v>0.86265300000000011</v>
      </c>
      <c r="AV142" s="99" t="e">
        <f t="shared" ca="1" si="89"/>
        <v>#N/A</v>
      </c>
      <c r="AW142" s="161" t="e">
        <f t="shared" ca="1" si="108"/>
        <v>#N/A</v>
      </c>
      <c r="AX142" s="286" t="e">
        <f t="shared" ca="1" si="90"/>
        <v>#N/A</v>
      </c>
    </row>
    <row r="143" spans="2:64" x14ac:dyDescent="0.25">
      <c r="B143" s="104">
        <f t="shared" si="94"/>
        <v>14</v>
      </c>
      <c r="C143" s="94">
        <v>15</v>
      </c>
      <c r="D143" s="94">
        <f t="shared" si="62"/>
        <v>1.8978601583634968E-2</v>
      </c>
      <c r="E143" s="94">
        <f t="shared" si="63"/>
        <v>1.8984000000000001E-2</v>
      </c>
      <c r="F143" s="94">
        <f t="shared" si="95"/>
        <v>0.91197600000000012</v>
      </c>
      <c r="G143" s="94" t="e">
        <f t="shared" ca="1" si="96"/>
        <v>#N/A</v>
      </c>
      <c r="H143" s="94" t="e">
        <f t="shared" ca="1" si="64"/>
        <v>#N/A</v>
      </c>
      <c r="I143" s="161" t="e">
        <f t="shared" ca="1" si="110"/>
        <v>#N/A</v>
      </c>
      <c r="J143" s="156" t="e">
        <f t="shared" ca="1" si="109"/>
        <v>#N/A</v>
      </c>
      <c r="K143" s="160" t="e">
        <f t="shared" ca="1" si="91"/>
        <v>#N/A</v>
      </c>
      <c r="L143" s="101" t="e">
        <f t="shared" ca="1" si="66"/>
        <v>#N/A</v>
      </c>
      <c r="M143" s="101" t="e">
        <f t="shared" ca="1" si="67"/>
        <v>#N/A</v>
      </c>
      <c r="N143" s="101" t="e">
        <f t="shared" ca="1" si="92"/>
        <v>#N/A</v>
      </c>
      <c r="O143" s="285">
        <f t="shared" si="68"/>
        <v>1.8978601583634968E-2</v>
      </c>
      <c r="P143" s="99">
        <f t="shared" si="69"/>
        <v>1.8984000000000001E-2</v>
      </c>
      <c r="Q143" s="99">
        <f t="shared" si="97"/>
        <v>0.91197600000000012</v>
      </c>
      <c r="R143" s="99" t="e">
        <f t="shared" ca="1" si="70"/>
        <v>#N/A</v>
      </c>
      <c r="S143" s="161" t="e">
        <f t="shared" ca="1" si="98"/>
        <v>#N/A</v>
      </c>
      <c r="T143" s="286" t="e">
        <f t="shared" ca="1" si="71"/>
        <v>#N/A</v>
      </c>
      <c r="U143" s="285">
        <f t="shared" si="72"/>
        <v>4.6899599525238476E-3</v>
      </c>
      <c r="V143" s="99">
        <f t="shared" si="73"/>
        <v>4.6909999999999999E-3</v>
      </c>
      <c r="W143" s="99">
        <f t="shared" si="99"/>
        <v>0.98860400000000004</v>
      </c>
      <c r="X143" s="99" t="e">
        <f t="shared" ca="1" si="74"/>
        <v>#N/A</v>
      </c>
      <c r="Y143" s="161" t="e">
        <f t="shared" ca="1" si="100"/>
        <v>#N/A</v>
      </c>
      <c r="Z143" s="286" t="e">
        <f t="shared" ca="1" si="93"/>
        <v>#N/A</v>
      </c>
      <c r="AA143" s="285">
        <f t="shared" si="75"/>
        <v>2.9712464069819585E-2</v>
      </c>
      <c r="AB143" s="99">
        <f t="shared" si="76"/>
        <v>3.0117999999999999E-2</v>
      </c>
      <c r="AC143" s="99">
        <f t="shared" si="101"/>
        <v>0.7046110000000001</v>
      </c>
      <c r="AD143" s="99" t="e">
        <f t="shared" ca="1" si="77"/>
        <v>#N/A</v>
      </c>
      <c r="AE143" s="161" t="e">
        <f t="shared" ca="1" si="102"/>
        <v>#N/A</v>
      </c>
      <c r="AF143" s="286" t="e">
        <f t="shared" ca="1" si="78"/>
        <v>#N/A</v>
      </c>
      <c r="AG143" s="285">
        <f t="shared" si="79"/>
        <v>2.9565425918973265E-2</v>
      </c>
      <c r="AH143" s="99">
        <f t="shared" si="80"/>
        <v>2.9614999999999999E-2</v>
      </c>
      <c r="AI143" s="99">
        <f t="shared" si="103"/>
        <v>0.8045429999999999</v>
      </c>
      <c r="AJ143" s="99" t="e">
        <f t="shared" ca="1" si="81"/>
        <v>#N/A</v>
      </c>
      <c r="AK143" s="161" t="e">
        <f t="shared" ca="1" si="104"/>
        <v>#N/A</v>
      </c>
      <c r="AL143" s="286" t="e">
        <f t="shared" ca="1" si="82"/>
        <v>#N/A</v>
      </c>
      <c r="AM143" s="285">
        <f t="shared" si="83"/>
        <v>3.3438414981126388E-2</v>
      </c>
      <c r="AN143" s="99">
        <f t="shared" si="84"/>
        <v>3.3489999999999999E-2</v>
      </c>
      <c r="AO143" s="99">
        <f t="shared" si="105"/>
        <v>0.77875499999999998</v>
      </c>
      <c r="AP143" s="99" t="e">
        <f t="shared" ca="1" si="85"/>
        <v>#N/A</v>
      </c>
      <c r="AQ143" s="161" t="e">
        <f t="shared" ca="1" si="106"/>
        <v>#N/A</v>
      </c>
      <c r="AR143" s="286" t="e">
        <f t="shared" ca="1" si="86"/>
        <v>#N/A</v>
      </c>
      <c r="AS143" s="285">
        <f t="shared" si="87"/>
        <v>2.1756612076269315E-2</v>
      </c>
      <c r="AT143" s="99">
        <f t="shared" si="88"/>
        <v>2.1767999999999999E-2</v>
      </c>
      <c r="AU143" s="99">
        <f t="shared" si="107"/>
        <v>0.88442100000000012</v>
      </c>
      <c r="AV143" s="99" t="e">
        <f t="shared" ca="1" si="89"/>
        <v>#N/A</v>
      </c>
      <c r="AW143" s="161" t="e">
        <f t="shared" ca="1" si="108"/>
        <v>#N/A</v>
      </c>
      <c r="AX143" s="286" t="e">
        <f t="shared" ca="1" si="90"/>
        <v>#N/A</v>
      </c>
    </row>
    <row r="144" spans="2:64" x14ac:dyDescent="0.25">
      <c r="B144" s="104">
        <f t="shared" si="94"/>
        <v>15</v>
      </c>
      <c r="C144" s="94">
        <v>16</v>
      </c>
      <c r="D144" s="94">
        <f t="shared" si="62"/>
        <v>1.5402900581428947E-2</v>
      </c>
      <c r="E144" s="94">
        <f t="shared" si="63"/>
        <v>1.5407000000000001E-2</v>
      </c>
      <c r="F144" s="94">
        <f t="shared" si="95"/>
        <v>0.92738300000000007</v>
      </c>
      <c r="G144" s="94" t="e">
        <f t="shared" ca="1" si="96"/>
        <v>#N/A</v>
      </c>
      <c r="H144" s="94" t="e">
        <f t="shared" ca="1" si="64"/>
        <v>#N/A</v>
      </c>
      <c r="I144" s="161" t="e">
        <f t="shared" ca="1" si="110"/>
        <v>#N/A</v>
      </c>
      <c r="J144" s="156" t="e">
        <f t="shared" ca="1" si="109"/>
        <v>#N/A</v>
      </c>
      <c r="K144" s="160" t="e">
        <f t="shared" ca="1" si="91"/>
        <v>#N/A</v>
      </c>
      <c r="L144" s="101" t="e">
        <f t="shared" ca="1" si="66"/>
        <v>#N/A</v>
      </c>
      <c r="M144" s="101" t="e">
        <f t="shared" ca="1" si="67"/>
        <v>#N/A</v>
      </c>
      <c r="N144" s="101" t="e">
        <f t="shared" ca="1" si="92"/>
        <v>#N/A</v>
      </c>
      <c r="O144" s="285">
        <f t="shared" si="68"/>
        <v>1.5402900581428947E-2</v>
      </c>
      <c r="P144" s="99">
        <f t="shared" si="69"/>
        <v>1.5407000000000001E-2</v>
      </c>
      <c r="Q144" s="99">
        <f t="shared" si="97"/>
        <v>0.92738300000000007</v>
      </c>
      <c r="R144" s="99" t="e">
        <f t="shared" ca="1" si="70"/>
        <v>#N/A</v>
      </c>
      <c r="S144" s="161" t="e">
        <f t="shared" ca="1" si="98"/>
        <v>#N/A</v>
      </c>
      <c r="T144" s="286" t="e">
        <f t="shared" ca="1" si="71"/>
        <v>#N/A</v>
      </c>
      <c r="U144" s="285">
        <f t="shared" si="72"/>
        <v>3.2681625192718124E-3</v>
      </c>
      <c r="V144" s="99">
        <f t="shared" si="73"/>
        <v>3.2690000000000002E-3</v>
      </c>
      <c r="W144" s="99">
        <f t="shared" si="99"/>
        <v>0.991873</v>
      </c>
      <c r="X144" s="99" t="e">
        <f t="shared" ca="1" si="74"/>
        <v>#N/A</v>
      </c>
      <c r="Y144" s="161" t="e">
        <f t="shared" ca="1" si="100"/>
        <v>#N/A</v>
      </c>
      <c r="Z144" s="286" t="e">
        <f t="shared" ca="1" si="93"/>
        <v>#N/A</v>
      </c>
      <c r="AA144" s="285">
        <f t="shared" si="75"/>
        <v>2.6737639411438589E-2</v>
      </c>
      <c r="AB144" s="99">
        <f t="shared" si="76"/>
        <v>2.7102999999999999E-2</v>
      </c>
      <c r="AC144" s="99">
        <f t="shared" si="101"/>
        <v>0.73171400000000009</v>
      </c>
      <c r="AD144" s="99" t="e">
        <f t="shared" ca="1" si="77"/>
        <v>#N/A</v>
      </c>
      <c r="AE144" s="161" t="e">
        <f t="shared" ca="1" si="102"/>
        <v>#N/A</v>
      </c>
      <c r="AF144" s="286" t="e">
        <f t="shared" ca="1" si="78"/>
        <v>#N/A</v>
      </c>
      <c r="AG144" s="285">
        <f t="shared" si="79"/>
        <v>2.5476295759392843E-2</v>
      </c>
      <c r="AH144" s="99">
        <f t="shared" si="80"/>
        <v>2.5519E-2</v>
      </c>
      <c r="AI144" s="99">
        <f t="shared" si="103"/>
        <v>0.83006199999999986</v>
      </c>
      <c r="AJ144" s="99" t="e">
        <f t="shared" ca="1" si="81"/>
        <v>#N/A</v>
      </c>
      <c r="AK144" s="161" t="e">
        <f t="shared" ca="1" si="104"/>
        <v>#N/A</v>
      </c>
      <c r="AL144" s="286" t="e">
        <f t="shared" ca="1" si="82"/>
        <v>#N/A</v>
      </c>
      <c r="AM144" s="285">
        <f t="shared" si="83"/>
        <v>2.8948744919962199E-2</v>
      </c>
      <c r="AN144" s="99">
        <f t="shared" si="84"/>
        <v>2.8993000000000001E-2</v>
      </c>
      <c r="AO144" s="99">
        <f t="shared" si="105"/>
        <v>0.80774800000000002</v>
      </c>
      <c r="AP144" s="99" t="e">
        <f t="shared" ca="1" si="85"/>
        <v>#N/A</v>
      </c>
      <c r="AQ144" s="161" t="e">
        <f t="shared" ca="1" si="106"/>
        <v>#N/A</v>
      </c>
      <c r="AR144" s="286" t="e">
        <f t="shared" ca="1" si="86"/>
        <v>#N/A</v>
      </c>
      <c r="AS144" s="285">
        <f t="shared" si="87"/>
        <v>1.8069542475471094E-2</v>
      </c>
      <c r="AT144" s="99">
        <f t="shared" si="88"/>
        <v>1.8079000000000001E-2</v>
      </c>
      <c r="AU144" s="99">
        <f t="shared" si="107"/>
        <v>0.90250000000000008</v>
      </c>
      <c r="AV144" s="99" t="e">
        <f t="shared" ca="1" si="89"/>
        <v>#N/A</v>
      </c>
      <c r="AW144" s="161" t="e">
        <f t="shared" ca="1" si="108"/>
        <v>#N/A</v>
      </c>
      <c r="AX144" s="286" t="e">
        <f t="shared" ca="1" si="90"/>
        <v>#N/A</v>
      </c>
    </row>
    <row r="145" spans="2:64" x14ac:dyDescent="0.25">
      <c r="B145" s="104">
        <f t="shared" si="94"/>
        <v>16</v>
      </c>
      <c r="C145" s="94">
        <v>17</v>
      </c>
      <c r="D145" s="94">
        <f t="shared" si="62"/>
        <v>1.2529308999672398E-2</v>
      </c>
      <c r="E145" s="94">
        <f t="shared" si="63"/>
        <v>1.2533000000000001E-2</v>
      </c>
      <c r="F145" s="94">
        <f t="shared" si="95"/>
        <v>0.93991600000000008</v>
      </c>
      <c r="G145" s="94" t="e">
        <f t="shared" ca="1" si="96"/>
        <v>#N/A</v>
      </c>
      <c r="H145" s="94" t="e">
        <f t="shared" ca="1" si="64"/>
        <v>#N/A</v>
      </c>
      <c r="I145" s="161" t="e">
        <f t="shared" ca="1" si="110"/>
        <v>#N/A</v>
      </c>
      <c r="J145" s="156" t="e">
        <f t="shared" ca="1" si="109"/>
        <v>#N/A</v>
      </c>
      <c r="K145" s="160" t="e">
        <f t="shared" ca="1" si="91"/>
        <v>#N/A</v>
      </c>
      <c r="L145" s="101" t="e">
        <f t="shared" ca="1" si="66"/>
        <v>#N/A</v>
      </c>
      <c r="M145" s="101" t="e">
        <f t="shared" ca="1" si="67"/>
        <v>#N/A</v>
      </c>
      <c r="N145" s="101" t="e">
        <f t="shared" ca="1" si="92"/>
        <v>#N/A</v>
      </c>
      <c r="O145" s="285">
        <f t="shared" si="68"/>
        <v>1.2529308999672398E-2</v>
      </c>
      <c r="P145" s="99">
        <f t="shared" si="69"/>
        <v>1.2533000000000001E-2</v>
      </c>
      <c r="Q145" s="99">
        <f t="shared" si="97"/>
        <v>0.93991600000000008</v>
      </c>
      <c r="R145" s="99" t="e">
        <f t="shared" ca="1" si="70"/>
        <v>#N/A</v>
      </c>
      <c r="S145" s="161" t="e">
        <f t="shared" ca="1" si="98"/>
        <v>#N/A</v>
      </c>
      <c r="T145" s="286" t="e">
        <f t="shared" ca="1" si="71"/>
        <v>#N/A</v>
      </c>
      <c r="U145" s="285">
        <f t="shared" si="72"/>
        <v>2.2920192515082662E-3</v>
      </c>
      <c r="V145" s="99">
        <f t="shared" si="73"/>
        <v>2.2920000000000002E-3</v>
      </c>
      <c r="W145" s="99">
        <f t="shared" si="99"/>
        <v>0.99416499999999997</v>
      </c>
      <c r="X145" s="99" t="e">
        <f t="shared" ca="1" si="74"/>
        <v>#N/A</v>
      </c>
      <c r="Y145" s="161" t="e">
        <f t="shared" ca="1" si="100"/>
        <v>#N/A</v>
      </c>
      <c r="Z145" s="286" t="e">
        <f t="shared" ca="1" si="93"/>
        <v>#N/A</v>
      </c>
      <c r="AA145" s="285">
        <f t="shared" si="75"/>
        <v>2.4072666967061073E-2</v>
      </c>
      <c r="AB145" s="99">
        <f t="shared" si="76"/>
        <v>2.4400999999999999E-2</v>
      </c>
      <c r="AC145" s="99">
        <f t="shared" si="101"/>
        <v>0.75611500000000009</v>
      </c>
      <c r="AD145" s="99" t="e">
        <f t="shared" ca="1" si="77"/>
        <v>#N/A</v>
      </c>
      <c r="AE145" s="161" t="e">
        <f t="shared" ca="1" si="102"/>
        <v>#N/A</v>
      </c>
      <c r="AF145" s="286" t="e">
        <f t="shared" ca="1" si="78"/>
        <v>#N/A</v>
      </c>
      <c r="AG145" s="285">
        <f t="shared" si="79"/>
        <v>2.1954974984391699E-2</v>
      </c>
      <c r="AH145" s="99">
        <f t="shared" si="80"/>
        <v>2.1992000000000001E-2</v>
      </c>
      <c r="AI145" s="99">
        <f t="shared" si="103"/>
        <v>0.85205399999999987</v>
      </c>
      <c r="AJ145" s="99" t="e">
        <f t="shared" ca="1" si="81"/>
        <v>#N/A</v>
      </c>
      <c r="AK145" s="161" t="e">
        <f t="shared" ca="1" si="104"/>
        <v>#N/A</v>
      </c>
      <c r="AL145" s="286" t="e">
        <f t="shared" ca="1" si="82"/>
        <v>#N/A</v>
      </c>
      <c r="AM145" s="285">
        <f t="shared" si="83"/>
        <v>2.5032076412924664E-2</v>
      </c>
      <c r="AN145" s="99">
        <f t="shared" si="84"/>
        <v>2.5069999999999999E-2</v>
      </c>
      <c r="AO145" s="99">
        <f t="shared" si="105"/>
        <v>0.83281800000000006</v>
      </c>
      <c r="AP145" s="99" t="e">
        <f t="shared" ca="1" si="85"/>
        <v>#N/A</v>
      </c>
      <c r="AQ145" s="161" t="e">
        <f t="shared" ca="1" si="106"/>
        <v>#N/A</v>
      </c>
      <c r="AR145" s="286" t="e">
        <f t="shared" ca="1" si="86"/>
        <v>#N/A</v>
      </c>
      <c r="AS145" s="285">
        <f t="shared" si="87"/>
        <v>1.5035579709971506E-2</v>
      </c>
      <c r="AT145" s="99">
        <f t="shared" si="88"/>
        <v>1.5043000000000001E-2</v>
      </c>
      <c r="AU145" s="99">
        <f t="shared" si="107"/>
        <v>0.91754300000000011</v>
      </c>
      <c r="AV145" s="99" t="e">
        <f t="shared" ca="1" si="89"/>
        <v>#N/A</v>
      </c>
      <c r="AW145" s="161" t="e">
        <f t="shared" ca="1" si="108"/>
        <v>#N/A</v>
      </c>
      <c r="AX145" s="286" t="e">
        <f t="shared" ca="1" si="90"/>
        <v>#N/A</v>
      </c>
      <c r="BG145" s="102"/>
      <c r="BH145" s="102"/>
      <c r="BI145" s="102"/>
      <c r="BJ145" s="102"/>
      <c r="BK145" s="102"/>
      <c r="BL145" s="102"/>
    </row>
    <row r="146" spans="2:64" x14ac:dyDescent="0.25">
      <c r="B146" s="104">
        <f t="shared" si="94"/>
        <v>17</v>
      </c>
      <c r="C146" s="94">
        <v>18</v>
      </c>
      <c r="D146" s="94">
        <f t="shared" si="62"/>
        <v>1.0218234825301323E-2</v>
      </c>
      <c r="E146" s="94">
        <f t="shared" si="63"/>
        <v>1.0220999999999999E-2</v>
      </c>
      <c r="F146" s="94">
        <f t="shared" si="95"/>
        <v>0.95013700000000012</v>
      </c>
      <c r="G146" s="94" t="e">
        <f t="shared" ca="1" si="96"/>
        <v>#N/A</v>
      </c>
      <c r="H146" s="94" t="e">
        <f t="shared" ca="1" si="64"/>
        <v>#N/A</v>
      </c>
      <c r="I146" s="161" t="e">
        <f t="shared" ca="1" si="110"/>
        <v>#N/A</v>
      </c>
      <c r="J146" s="156" t="e">
        <f t="shared" ca="1" si="109"/>
        <v>#N/A</v>
      </c>
      <c r="K146" s="160" t="e">
        <f t="shared" ca="1" si="91"/>
        <v>#N/A</v>
      </c>
      <c r="L146" s="101" t="e">
        <f t="shared" ca="1" si="66"/>
        <v>#N/A</v>
      </c>
      <c r="M146" s="101" t="e">
        <f t="shared" ca="1" si="67"/>
        <v>#N/A</v>
      </c>
      <c r="N146" s="101" t="e">
        <f t="shared" ca="1" si="92"/>
        <v>#N/A</v>
      </c>
      <c r="O146" s="285">
        <f t="shared" si="68"/>
        <v>1.0218234825301323E-2</v>
      </c>
      <c r="P146" s="99">
        <f t="shared" si="69"/>
        <v>1.0220999999999999E-2</v>
      </c>
      <c r="Q146" s="99">
        <f t="shared" si="97"/>
        <v>0.95013700000000012</v>
      </c>
      <c r="R146" s="99" t="e">
        <f t="shared" ca="1" si="70"/>
        <v>#N/A</v>
      </c>
      <c r="S146" s="161" t="e">
        <f t="shared" ca="1" si="98"/>
        <v>#N/A</v>
      </c>
      <c r="T146" s="286" t="e">
        <f t="shared" ca="1" si="71"/>
        <v>#N/A</v>
      </c>
      <c r="U146" s="285">
        <f t="shared" si="72"/>
        <v>1.6179647058275235E-3</v>
      </c>
      <c r="V146" s="99">
        <f t="shared" si="73"/>
        <v>1.6180000000000001E-3</v>
      </c>
      <c r="W146" s="99">
        <f t="shared" si="99"/>
        <v>0.99578299999999997</v>
      </c>
      <c r="X146" s="99" t="e">
        <f t="shared" ca="1" si="74"/>
        <v>#N/A</v>
      </c>
      <c r="Y146" s="161" t="e">
        <f t="shared" ca="1" si="100"/>
        <v>#N/A</v>
      </c>
      <c r="Z146" s="286" t="e">
        <f t="shared" ca="1" si="93"/>
        <v>#N/A</v>
      </c>
      <c r="AA146" s="285">
        <f t="shared" si="75"/>
        <v>2.1690004149638488E-2</v>
      </c>
      <c r="AB146" s="99">
        <f t="shared" si="76"/>
        <v>2.1985999999999999E-2</v>
      </c>
      <c r="AC146" s="99">
        <f t="shared" si="101"/>
        <v>0.77810100000000004</v>
      </c>
      <c r="AD146" s="99" t="e">
        <f t="shared" ca="1" si="77"/>
        <v>#N/A</v>
      </c>
      <c r="AE146" s="161" t="e">
        <f t="shared" ca="1" si="102"/>
        <v>#N/A</v>
      </c>
      <c r="AF146" s="286" t="e">
        <f t="shared" ca="1" si="78"/>
        <v>#N/A</v>
      </c>
      <c r="AG146" s="285">
        <f t="shared" si="79"/>
        <v>1.8931471938829943E-2</v>
      </c>
      <c r="AH146" s="99">
        <f t="shared" si="80"/>
        <v>1.8963000000000001E-2</v>
      </c>
      <c r="AI146" s="99">
        <f t="shared" si="103"/>
        <v>0.87101699999999982</v>
      </c>
      <c r="AJ146" s="99" t="e">
        <f t="shared" ca="1" si="81"/>
        <v>#N/A</v>
      </c>
      <c r="AK146" s="161" t="e">
        <f t="shared" ca="1" si="104"/>
        <v>#N/A</v>
      </c>
      <c r="AL146" s="286" t="e">
        <f t="shared" ca="1" si="82"/>
        <v>#N/A</v>
      </c>
      <c r="AM146" s="285">
        <f t="shared" si="83"/>
        <v>2.1634452432654508E-2</v>
      </c>
      <c r="AN146" s="99">
        <f t="shared" si="84"/>
        <v>2.1668E-2</v>
      </c>
      <c r="AO146" s="99">
        <f t="shared" si="105"/>
        <v>0.85448600000000008</v>
      </c>
      <c r="AP146" s="99" t="e">
        <f t="shared" ca="1" si="85"/>
        <v>#N/A</v>
      </c>
      <c r="AQ146" s="161" t="e">
        <f t="shared" ca="1" si="106"/>
        <v>#N/A</v>
      </c>
      <c r="AR146" s="286" t="e">
        <f t="shared" ca="1" si="86"/>
        <v>#N/A</v>
      </c>
      <c r="AS146" s="285">
        <f t="shared" si="87"/>
        <v>1.2538430474231067E-2</v>
      </c>
      <c r="AT146" s="99">
        <f t="shared" si="88"/>
        <v>1.2545000000000001E-2</v>
      </c>
      <c r="AU146" s="99">
        <f t="shared" si="107"/>
        <v>0.93008800000000014</v>
      </c>
      <c r="AV146" s="99" t="e">
        <f t="shared" ca="1" si="89"/>
        <v>#N/A</v>
      </c>
      <c r="AW146" s="161" t="e">
        <f t="shared" ca="1" si="108"/>
        <v>#N/A</v>
      </c>
      <c r="AX146" s="286" t="e">
        <f t="shared" ca="1" si="90"/>
        <v>#N/A</v>
      </c>
    </row>
    <row r="147" spans="2:64" x14ac:dyDescent="0.25">
      <c r="B147" s="104">
        <f t="shared" si="94"/>
        <v>18</v>
      </c>
      <c r="C147" s="94">
        <v>19</v>
      </c>
      <c r="D147" s="94">
        <f t="shared" si="62"/>
        <v>8.356758606440513E-3</v>
      </c>
      <c r="E147" s="94">
        <f t="shared" si="63"/>
        <v>8.3590000000000001E-3</v>
      </c>
      <c r="F147" s="94">
        <f t="shared" si="95"/>
        <v>0.95849600000000013</v>
      </c>
      <c r="G147" s="94" t="e">
        <f t="shared" ca="1" si="96"/>
        <v>#N/A</v>
      </c>
      <c r="H147" s="94" t="e">
        <f t="shared" ca="1" si="64"/>
        <v>#N/A</v>
      </c>
      <c r="I147" s="161" t="e">
        <f t="shared" ca="1" si="110"/>
        <v>#N/A</v>
      </c>
      <c r="J147" s="156" t="e">
        <f t="shared" ca="1" si="109"/>
        <v>#N/A</v>
      </c>
      <c r="K147" s="160" t="e">
        <f t="shared" ca="1" si="91"/>
        <v>#N/A</v>
      </c>
      <c r="L147" s="101" t="e">
        <f t="shared" ca="1" si="66"/>
        <v>#N/A</v>
      </c>
      <c r="M147" s="101" t="e">
        <f t="shared" ca="1" si="67"/>
        <v>#N/A</v>
      </c>
      <c r="N147" s="101" t="e">
        <f t="shared" ca="1" si="92"/>
        <v>#N/A</v>
      </c>
      <c r="O147" s="285">
        <f t="shared" si="68"/>
        <v>8.356758606440513E-3</v>
      </c>
      <c r="P147" s="99">
        <f t="shared" si="69"/>
        <v>8.3590000000000001E-3</v>
      </c>
      <c r="Q147" s="99">
        <f t="shared" si="97"/>
        <v>0.95849600000000013</v>
      </c>
      <c r="R147" s="99" t="e">
        <f t="shared" ca="1" si="70"/>
        <v>#N/A</v>
      </c>
      <c r="S147" s="161" t="e">
        <f t="shared" ca="1" si="98"/>
        <v>#N/A</v>
      </c>
      <c r="T147" s="286" t="e">
        <f t="shared" ca="1" si="71"/>
        <v>#N/A</v>
      </c>
      <c r="U147" s="285">
        <f t="shared" si="72"/>
        <v>1.1496444703985404E-3</v>
      </c>
      <c r="V147" s="99">
        <f t="shared" si="73"/>
        <v>1.15E-3</v>
      </c>
      <c r="W147" s="99">
        <f t="shared" si="99"/>
        <v>0.99693299999999996</v>
      </c>
      <c r="X147" s="99" t="e">
        <f t="shared" ca="1" si="74"/>
        <v>#N/A</v>
      </c>
      <c r="Y147" s="161" t="e">
        <f t="shared" ca="1" si="100"/>
        <v>#N/A</v>
      </c>
      <c r="Z147" s="286" t="e">
        <f t="shared" ca="1" si="93"/>
        <v>#N/A</v>
      </c>
      <c r="AA147" s="285">
        <f t="shared" si="75"/>
        <v>1.9561979702151549E-2</v>
      </c>
      <c r="AB147" s="99">
        <f t="shared" si="76"/>
        <v>1.9828999999999999E-2</v>
      </c>
      <c r="AC147" s="99">
        <f t="shared" si="101"/>
        <v>0.79793000000000003</v>
      </c>
      <c r="AD147" s="99" t="e">
        <f t="shared" ca="1" si="77"/>
        <v>#N/A</v>
      </c>
      <c r="AE147" s="161" t="e">
        <f t="shared" ca="1" si="102"/>
        <v>#N/A</v>
      </c>
      <c r="AF147" s="286" t="e">
        <f t="shared" ca="1" si="78"/>
        <v>#N/A</v>
      </c>
      <c r="AG147" s="285">
        <f t="shared" si="79"/>
        <v>1.6339697999901391E-2</v>
      </c>
      <c r="AH147" s="99">
        <f t="shared" si="80"/>
        <v>1.6367E-2</v>
      </c>
      <c r="AI147" s="99">
        <f t="shared" si="103"/>
        <v>0.88738399999999984</v>
      </c>
      <c r="AJ147" s="99" t="e">
        <f t="shared" ca="1" si="81"/>
        <v>#N/A</v>
      </c>
      <c r="AK147" s="161" t="e">
        <f t="shared" ca="1" si="104"/>
        <v>#N/A</v>
      </c>
      <c r="AL147" s="286" t="e">
        <f t="shared" ca="1" si="82"/>
        <v>#N/A</v>
      </c>
      <c r="AM147" s="285">
        <f t="shared" si="83"/>
        <v>1.8698290253455731E-2</v>
      </c>
      <c r="AN147" s="99">
        <f t="shared" si="84"/>
        <v>1.8727000000000001E-2</v>
      </c>
      <c r="AO147" s="99">
        <f t="shared" si="105"/>
        <v>0.87321300000000013</v>
      </c>
      <c r="AP147" s="99" t="e">
        <f t="shared" ca="1" si="85"/>
        <v>#N/A</v>
      </c>
      <c r="AQ147" s="161" t="e">
        <f t="shared" ca="1" si="106"/>
        <v>#N/A</v>
      </c>
      <c r="AR147" s="286" t="e">
        <f t="shared" ca="1" si="86"/>
        <v>#N/A</v>
      </c>
      <c r="AS147" s="285">
        <f t="shared" si="87"/>
        <v>1.0481021101225478E-2</v>
      </c>
      <c r="AT147" s="99">
        <f t="shared" si="88"/>
        <v>1.0486000000000001E-2</v>
      </c>
      <c r="AU147" s="99">
        <f t="shared" si="107"/>
        <v>0.94057400000000013</v>
      </c>
      <c r="AV147" s="99" t="e">
        <f t="shared" ca="1" si="89"/>
        <v>#N/A</v>
      </c>
      <c r="AW147" s="161" t="e">
        <f t="shared" ca="1" si="108"/>
        <v>#N/A</v>
      </c>
      <c r="AX147" s="286" t="e">
        <f t="shared" ca="1" si="90"/>
        <v>#N/A</v>
      </c>
    </row>
    <row r="148" spans="2:64" x14ac:dyDescent="0.25">
      <c r="B148" s="104">
        <f t="shared" si="94"/>
        <v>19</v>
      </c>
      <c r="C148" s="94">
        <v>20</v>
      </c>
      <c r="D148" s="94">
        <f t="shared" si="62"/>
        <v>6.8543665729997308E-3</v>
      </c>
      <c r="E148" s="94">
        <f t="shared" si="63"/>
        <v>6.8560000000000001E-3</v>
      </c>
      <c r="F148" s="94">
        <f t="shared" si="95"/>
        <v>0.9653520000000001</v>
      </c>
      <c r="G148" s="94" t="e">
        <f t="shared" ca="1" si="96"/>
        <v>#N/A</v>
      </c>
      <c r="H148" s="94" t="e">
        <f t="shared" ca="1" si="64"/>
        <v>#N/A</v>
      </c>
      <c r="I148" s="161" t="e">
        <f t="shared" ca="1" si="110"/>
        <v>#N/A</v>
      </c>
      <c r="J148" s="156" t="e">
        <f t="shared" ca="1" si="109"/>
        <v>#N/A</v>
      </c>
      <c r="K148" s="160" t="e">
        <f t="shared" ca="1" si="91"/>
        <v>#N/A</v>
      </c>
      <c r="L148" s="101" t="e">
        <f t="shared" ca="1" si="66"/>
        <v>#N/A</v>
      </c>
      <c r="M148" s="101" t="e">
        <f t="shared" ca="1" si="67"/>
        <v>#N/A</v>
      </c>
      <c r="N148" s="101" t="e">
        <f t="shared" ca="1" si="92"/>
        <v>#N/A</v>
      </c>
      <c r="O148" s="285">
        <f t="shared" si="68"/>
        <v>6.8543665729997308E-3</v>
      </c>
      <c r="P148" s="99">
        <f t="shared" si="69"/>
        <v>6.8560000000000001E-3</v>
      </c>
      <c r="Q148" s="99">
        <f t="shared" si="97"/>
        <v>0.9653520000000001</v>
      </c>
      <c r="R148" s="99" t="e">
        <f t="shared" ca="1" si="70"/>
        <v>#N/A</v>
      </c>
      <c r="S148" s="161" t="e">
        <f t="shared" ca="1" si="98"/>
        <v>#N/A</v>
      </c>
      <c r="T148" s="286" t="e">
        <f t="shared" ca="1" si="71"/>
        <v>#N/A</v>
      </c>
      <c r="U148" s="285">
        <f t="shared" si="72"/>
        <v>8.2219860192950039E-4</v>
      </c>
      <c r="V148" s="99">
        <f t="shared" si="73"/>
        <v>8.2200000000000003E-4</v>
      </c>
      <c r="W148" s="99">
        <f t="shared" si="99"/>
        <v>0.99775499999999995</v>
      </c>
      <c r="X148" s="99" t="e">
        <f t="shared" ca="1" si="74"/>
        <v>#N/A</v>
      </c>
      <c r="Y148" s="161" t="e">
        <f t="shared" ca="1" si="100"/>
        <v>#N/A</v>
      </c>
      <c r="Z148" s="286" t="e">
        <f t="shared" ca="1" si="93"/>
        <v>#N/A</v>
      </c>
      <c r="AA148" s="285">
        <f t="shared" si="75"/>
        <v>1.7662100537966793E-2</v>
      </c>
      <c r="AB148" s="99">
        <f t="shared" si="76"/>
        <v>1.7902999999999999E-2</v>
      </c>
      <c r="AC148" s="99">
        <f t="shared" si="101"/>
        <v>0.81583300000000003</v>
      </c>
      <c r="AD148" s="99" t="e">
        <f t="shared" ca="1" si="77"/>
        <v>#N/A</v>
      </c>
      <c r="AE148" s="161" t="e">
        <f t="shared" ca="1" si="102"/>
        <v>#N/A</v>
      </c>
      <c r="AF148" s="286" t="e">
        <f t="shared" ca="1" si="78"/>
        <v>#N/A</v>
      </c>
      <c r="AG148" s="285">
        <f t="shared" si="79"/>
        <v>1.4119638430663094E-2</v>
      </c>
      <c r="AH148" s="99">
        <f t="shared" si="80"/>
        <v>1.4142999999999999E-2</v>
      </c>
      <c r="AI148" s="99">
        <f t="shared" si="103"/>
        <v>0.90152699999999986</v>
      </c>
      <c r="AJ148" s="99" t="e">
        <f t="shared" ca="1" si="81"/>
        <v>#N/A</v>
      </c>
      <c r="AK148" s="161" t="e">
        <f t="shared" ca="1" si="104"/>
        <v>#N/A</v>
      </c>
      <c r="AL148" s="286" t="e">
        <f t="shared" ca="1" si="82"/>
        <v>#N/A</v>
      </c>
      <c r="AM148" s="285">
        <f t="shared" si="83"/>
        <v>1.6167210423018878E-2</v>
      </c>
      <c r="AN148" s="99">
        <f t="shared" si="84"/>
        <v>1.6192000000000002E-2</v>
      </c>
      <c r="AO148" s="99">
        <f t="shared" si="105"/>
        <v>0.88940500000000011</v>
      </c>
      <c r="AP148" s="99" t="e">
        <f t="shared" ca="1" si="85"/>
        <v>#N/A</v>
      </c>
      <c r="AQ148" s="161" t="e">
        <f t="shared" ca="1" si="106"/>
        <v>#N/A</v>
      </c>
      <c r="AR148" s="286" t="e">
        <f t="shared" ca="1" si="86"/>
        <v>#N/A</v>
      </c>
      <c r="AS148" s="285">
        <f t="shared" si="87"/>
        <v>8.7832729655794757E-3</v>
      </c>
      <c r="AT148" s="99">
        <f t="shared" si="88"/>
        <v>8.7880000000000007E-3</v>
      </c>
      <c r="AU148" s="99">
        <f t="shared" si="107"/>
        <v>0.94936200000000015</v>
      </c>
      <c r="AV148" s="99" t="e">
        <f t="shared" ca="1" si="89"/>
        <v>#N/A</v>
      </c>
      <c r="AW148" s="161" t="e">
        <f t="shared" ca="1" si="108"/>
        <v>#N/A</v>
      </c>
      <c r="AX148" s="286" t="e">
        <f t="shared" ca="1" si="90"/>
        <v>#N/A</v>
      </c>
    </row>
    <row r="149" spans="2:64" x14ac:dyDescent="0.25">
      <c r="B149" s="104">
        <f t="shared" si="94"/>
        <v>20</v>
      </c>
      <c r="C149" s="94">
        <v>21</v>
      </c>
      <c r="D149" s="94">
        <f t="shared" si="62"/>
        <v>5.6388893773070287E-3</v>
      </c>
      <c r="E149" s="94">
        <f t="shared" si="63"/>
        <v>5.64E-3</v>
      </c>
      <c r="F149" s="94">
        <f t="shared" si="95"/>
        <v>0.97099200000000008</v>
      </c>
      <c r="G149" s="94" t="e">
        <f t="shared" ca="1" si="96"/>
        <v>#N/A</v>
      </c>
      <c r="H149" s="94" t="e">
        <f t="shared" ca="1" si="64"/>
        <v>#N/A</v>
      </c>
      <c r="I149" s="161" t="e">
        <f t="shared" ca="1" si="110"/>
        <v>#N/A</v>
      </c>
      <c r="J149" s="156" t="e">
        <f t="shared" ca="1" si="109"/>
        <v>#N/A</v>
      </c>
      <c r="K149" s="160" t="e">
        <f t="shared" ca="1" si="91"/>
        <v>#N/A</v>
      </c>
      <c r="L149" s="101" t="e">
        <f t="shared" ca="1" si="66"/>
        <v>#N/A</v>
      </c>
      <c r="M149" s="101" t="e">
        <f t="shared" ca="1" si="67"/>
        <v>#N/A</v>
      </c>
      <c r="N149" s="101" t="e">
        <f t="shared" ca="1" si="92"/>
        <v>#N/A</v>
      </c>
      <c r="O149" s="285">
        <f t="shared" si="68"/>
        <v>5.6388893773070287E-3</v>
      </c>
      <c r="P149" s="99">
        <f t="shared" si="69"/>
        <v>5.64E-3</v>
      </c>
      <c r="Q149" s="99">
        <f t="shared" si="97"/>
        <v>0.97099200000000008</v>
      </c>
      <c r="R149" s="99" t="e">
        <f t="shared" ca="1" si="70"/>
        <v>#N/A</v>
      </c>
      <c r="S149" s="161" t="e">
        <f t="shared" ca="1" si="98"/>
        <v>#N/A</v>
      </c>
      <c r="T149" s="286" t="e">
        <f t="shared" ca="1" si="71"/>
        <v>#N/A</v>
      </c>
      <c r="U149" s="285">
        <f t="shared" si="72"/>
        <v>5.9178202454418093E-4</v>
      </c>
      <c r="V149" s="99">
        <f t="shared" si="73"/>
        <v>5.9199999999999997E-4</v>
      </c>
      <c r="W149" s="99">
        <f t="shared" si="99"/>
        <v>0.99834699999999998</v>
      </c>
      <c r="X149" s="99" t="e">
        <f t="shared" ca="1" si="74"/>
        <v>#N/A</v>
      </c>
      <c r="Y149" s="161" t="e">
        <f t="shared" ca="1" si="100"/>
        <v>#N/A</v>
      </c>
      <c r="Z149" s="286" t="e">
        <f t="shared" ca="1" si="93"/>
        <v>#N/A</v>
      </c>
      <c r="AA149" s="285">
        <f t="shared" si="75"/>
        <v>1.5965725505398144E-2</v>
      </c>
      <c r="AB149" s="99">
        <f t="shared" si="76"/>
        <v>1.6184E-2</v>
      </c>
      <c r="AC149" s="99">
        <f t="shared" si="101"/>
        <v>0.83201700000000001</v>
      </c>
      <c r="AD149" s="99" t="e">
        <f t="shared" ca="1" si="77"/>
        <v>#N/A</v>
      </c>
      <c r="AE149" s="161" t="e">
        <f t="shared" ca="1" si="102"/>
        <v>#N/A</v>
      </c>
      <c r="AF149" s="286" t="e">
        <f t="shared" ca="1" si="78"/>
        <v>#N/A</v>
      </c>
      <c r="AG149" s="285">
        <f t="shared" si="79"/>
        <v>1.2218101723402076E-2</v>
      </c>
      <c r="AH149" s="99">
        <f t="shared" si="80"/>
        <v>1.2239E-2</v>
      </c>
      <c r="AI149" s="99">
        <f t="shared" si="103"/>
        <v>0.91376599999999986</v>
      </c>
      <c r="AJ149" s="99" t="e">
        <f t="shared" ca="1" si="81"/>
        <v>#N/A</v>
      </c>
      <c r="AK149" s="161" t="e">
        <f t="shared" ca="1" si="104"/>
        <v>#N/A</v>
      </c>
      <c r="AL149" s="286" t="e">
        <f t="shared" ca="1" si="82"/>
        <v>#N/A</v>
      </c>
      <c r="AM149" s="285">
        <f t="shared" si="83"/>
        <v>1.3988608342130065E-2</v>
      </c>
      <c r="AN149" s="99">
        <f t="shared" si="84"/>
        <v>1.401E-2</v>
      </c>
      <c r="AO149" s="99">
        <f t="shared" si="105"/>
        <v>0.90341500000000008</v>
      </c>
      <c r="AP149" s="99" t="e">
        <f t="shared" ca="1" si="85"/>
        <v>#N/A</v>
      </c>
      <c r="AQ149" s="161" t="e">
        <f t="shared" ca="1" si="106"/>
        <v>#N/A</v>
      </c>
      <c r="AR149" s="286" t="e">
        <f t="shared" ca="1" si="86"/>
        <v>#N/A</v>
      </c>
      <c r="AS149" s="285">
        <f t="shared" si="87"/>
        <v>7.3796038103261831E-3</v>
      </c>
      <c r="AT149" s="99">
        <f t="shared" si="88"/>
        <v>7.3829999999999998E-3</v>
      </c>
      <c r="AU149" s="99">
        <f t="shared" si="107"/>
        <v>0.95674500000000018</v>
      </c>
      <c r="AV149" s="99" t="e">
        <f t="shared" ca="1" si="89"/>
        <v>#N/A</v>
      </c>
      <c r="AW149" s="161" t="e">
        <f t="shared" ca="1" si="108"/>
        <v>#N/A</v>
      </c>
      <c r="AX149" s="286" t="e">
        <f t="shared" ca="1" si="90"/>
        <v>#N/A</v>
      </c>
    </row>
    <row r="150" spans="2:64" x14ac:dyDescent="0.25">
      <c r="B150" s="104">
        <f t="shared" si="94"/>
        <v>21</v>
      </c>
      <c r="C150" s="94">
        <v>22</v>
      </c>
      <c r="D150" s="94">
        <f t="shared" si="62"/>
        <v>4.652944595330194E-3</v>
      </c>
      <c r="E150" s="94">
        <f t="shared" si="63"/>
        <v>4.6540000000000002E-3</v>
      </c>
      <c r="F150" s="94">
        <f t="shared" si="95"/>
        <v>0.97564600000000012</v>
      </c>
      <c r="G150" s="94" t="e">
        <f t="shared" ca="1" si="96"/>
        <v>#N/A</v>
      </c>
      <c r="H150" s="94" t="e">
        <f t="shared" ca="1" si="64"/>
        <v>#N/A</v>
      </c>
      <c r="I150" s="161" t="e">
        <f t="shared" ca="1" si="110"/>
        <v>#N/A</v>
      </c>
      <c r="J150" s="156" t="e">
        <f t="shared" ca="1" si="109"/>
        <v>#N/A</v>
      </c>
      <c r="K150" s="160" t="e">
        <f t="shared" ca="1" si="91"/>
        <v>#N/A</v>
      </c>
      <c r="L150" s="101" t="e">
        <f t="shared" ca="1" si="66"/>
        <v>#N/A</v>
      </c>
      <c r="M150" s="101" t="e">
        <f t="shared" ca="1" si="67"/>
        <v>#N/A</v>
      </c>
      <c r="N150" s="101" t="e">
        <f t="shared" ca="1" si="92"/>
        <v>#N/A</v>
      </c>
      <c r="O150" s="285">
        <f t="shared" si="68"/>
        <v>4.652944595330194E-3</v>
      </c>
      <c r="P150" s="99">
        <f t="shared" si="69"/>
        <v>4.6540000000000002E-3</v>
      </c>
      <c r="Q150" s="99">
        <f t="shared" si="97"/>
        <v>0.97564600000000012</v>
      </c>
      <c r="R150" s="99" t="e">
        <f t="shared" ca="1" si="70"/>
        <v>#N/A</v>
      </c>
      <c r="S150" s="161" t="e">
        <f t="shared" ca="1" si="98"/>
        <v>#N/A</v>
      </c>
      <c r="T150" s="286" t="e">
        <f t="shared" ca="1" si="71"/>
        <v>#N/A</v>
      </c>
      <c r="U150" s="285">
        <f t="shared" si="72"/>
        <v>4.2860537935187043E-4</v>
      </c>
      <c r="V150" s="99">
        <f t="shared" si="73"/>
        <v>4.2900000000000002E-4</v>
      </c>
      <c r="W150" s="99">
        <f t="shared" si="99"/>
        <v>0.998776</v>
      </c>
      <c r="X150" s="99" t="e">
        <f t="shared" ca="1" si="74"/>
        <v>#N/A</v>
      </c>
      <c r="Y150" s="161" t="e">
        <f t="shared" ca="1" si="100"/>
        <v>#N/A</v>
      </c>
      <c r="Z150" s="286" t="e">
        <f t="shared" ca="1" si="93"/>
        <v>#N/A</v>
      </c>
      <c r="AA150" s="285">
        <f t="shared" si="75"/>
        <v>1.445035638711074E-2</v>
      </c>
      <c r="AB150" s="99">
        <f t="shared" si="76"/>
        <v>1.4648E-2</v>
      </c>
      <c r="AC150" s="99">
        <f t="shared" si="101"/>
        <v>0.846665</v>
      </c>
      <c r="AD150" s="99" t="e">
        <f t="shared" ca="1" si="77"/>
        <v>#N/A</v>
      </c>
      <c r="AE150" s="161" t="e">
        <f t="shared" ca="1" si="102"/>
        <v>#N/A</v>
      </c>
      <c r="AF150" s="286" t="e">
        <f t="shared" ca="1" si="78"/>
        <v>#N/A</v>
      </c>
      <c r="AG150" s="285">
        <f t="shared" si="79"/>
        <v>1.0588683965779205E-2</v>
      </c>
      <c r="AH150" s="99">
        <f t="shared" si="80"/>
        <v>1.0606000000000001E-2</v>
      </c>
      <c r="AI150" s="99">
        <f t="shared" si="103"/>
        <v>0.92437199999999986</v>
      </c>
      <c r="AJ150" s="99" t="e">
        <f t="shared" ca="1" si="81"/>
        <v>#N/A</v>
      </c>
      <c r="AK150" s="161" t="e">
        <f t="shared" ca="1" si="104"/>
        <v>#N/A</v>
      </c>
      <c r="AL150" s="286" t="e">
        <f t="shared" ca="1" si="82"/>
        <v>#N/A</v>
      </c>
      <c r="AM150" s="285">
        <f t="shared" si="83"/>
        <v>1.2114844773218836E-2</v>
      </c>
      <c r="AN150" s="99">
        <f t="shared" si="84"/>
        <v>1.2133E-2</v>
      </c>
      <c r="AO150" s="99">
        <f t="shared" si="105"/>
        <v>0.91554800000000003</v>
      </c>
      <c r="AP150" s="99" t="e">
        <f t="shared" ca="1" si="85"/>
        <v>#N/A</v>
      </c>
      <c r="AQ150" s="161" t="e">
        <f t="shared" ca="1" si="106"/>
        <v>#N/A</v>
      </c>
      <c r="AR150" s="286" t="e">
        <f t="shared" ca="1" si="86"/>
        <v>#N/A</v>
      </c>
      <c r="AS150" s="285">
        <f t="shared" si="87"/>
        <v>6.2165315971413034E-3</v>
      </c>
      <c r="AT150" s="99">
        <f t="shared" si="88"/>
        <v>6.2199999999999998E-3</v>
      </c>
      <c r="AU150" s="99">
        <f t="shared" si="107"/>
        <v>0.96296500000000018</v>
      </c>
      <c r="AV150" s="99" t="e">
        <f t="shared" ca="1" si="89"/>
        <v>#N/A</v>
      </c>
      <c r="AW150" s="161" t="e">
        <f t="shared" ca="1" si="108"/>
        <v>#N/A</v>
      </c>
      <c r="AX150" s="286" t="e">
        <f t="shared" ca="1" si="90"/>
        <v>#N/A</v>
      </c>
    </row>
    <row r="151" spans="2:64" x14ac:dyDescent="0.25">
      <c r="B151" s="104">
        <f t="shared" si="94"/>
        <v>22</v>
      </c>
      <c r="C151" s="94">
        <v>23</v>
      </c>
      <c r="D151" s="94">
        <f t="shared" si="62"/>
        <v>3.8509558582453364E-3</v>
      </c>
      <c r="E151" s="94">
        <f t="shared" si="63"/>
        <v>3.852E-3</v>
      </c>
      <c r="F151" s="94">
        <f t="shared" si="95"/>
        <v>0.97949800000000009</v>
      </c>
      <c r="G151" s="94" t="e">
        <f t="shared" ca="1" si="96"/>
        <v>#N/A</v>
      </c>
      <c r="H151" s="94" t="e">
        <f t="shared" ca="1" si="64"/>
        <v>#N/A</v>
      </c>
      <c r="I151" s="161" t="e">
        <f t="shared" ca="1" si="110"/>
        <v>#N/A</v>
      </c>
      <c r="J151" s="156" t="e">
        <f t="shared" ca="1" si="109"/>
        <v>#N/A</v>
      </c>
      <c r="K151" s="160" t="e">
        <f t="shared" ca="1" si="91"/>
        <v>#N/A</v>
      </c>
      <c r="L151" s="101" t="e">
        <f t="shared" ca="1" si="66"/>
        <v>#N/A</v>
      </c>
      <c r="M151" s="101" t="e">
        <f t="shared" ca="1" si="67"/>
        <v>#N/A</v>
      </c>
      <c r="N151" s="101" t="e">
        <f t="shared" ca="1" si="92"/>
        <v>#N/A</v>
      </c>
      <c r="O151" s="285">
        <f t="shared" si="68"/>
        <v>3.8509558582453364E-3</v>
      </c>
      <c r="P151" s="99">
        <f t="shared" si="69"/>
        <v>3.852E-3</v>
      </c>
      <c r="Q151" s="99">
        <f t="shared" si="97"/>
        <v>0.97949800000000009</v>
      </c>
      <c r="R151" s="99" t="e">
        <f t="shared" ca="1" si="70"/>
        <v>#N/A</v>
      </c>
      <c r="S151" s="161" t="e">
        <f t="shared" ca="1" si="98"/>
        <v>#N/A</v>
      </c>
      <c r="T151" s="286" t="e">
        <f t="shared" ca="1" si="71"/>
        <v>#N/A</v>
      </c>
      <c r="U151" s="285">
        <f t="shared" si="72"/>
        <v>3.1231600989821748E-4</v>
      </c>
      <c r="V151" s="99">
        <f t="shared" si="73"/>
        <v>3.1199999999999999E-4</v>
      </c>
      <c r="W151" s="99">
        <f t="shared" si="99"/>
        <v>0.99908799999999998</v>
      </c>
      <c r="X151" s="99" t="e">
        <f t="shared" ca="1" si="74"/>
        <v>#N/A</v>
      </c>
      <c r="Y151" s="161" t="e">
        <f t="shared" ca="1" si="100"/>
        <v>#N/A</v>
      </c>
      <c r="Z151" s="286" t="e">
        <f t="shared" ca="1" si="93"/>
        <v>#N/A</v>
      </c>
      <c r="AA151" s="285">
        <f t="shared" si="75"/>
        <v>1.3095702180795832E-2</v>
      </c>
      <c r="AB151" s="99">
        <f t="shared" si="76"/>
        <v>1.3275E-2</v>
      </c>
      <c r="AC151" s="99">
        <f t="shared" si="101"/>
        <v>0.85994000000000004</v>
      </c>
      <c r="AD151" s="99" t="e">
        <f t="shared" ca="1" si="77"/>
        <v>#N/A</v>
      </c>
      <c r="AE151" s="161" t="e">
        <f t="shared" ca="1" si="102"/>
        <v>#N/A</v>
      </c>
      <c r="AF151" s="286" t="e">
        <f t="shared" ca="1" si="78"/>
        <v>#N/A</v>
      </c>
      <c r="AG151" s="285">
        <f t="shared" si="79"/>
        <v>9.1913281358812909E-3</v>
      </c>
      <c r="AH151" s="99">
        <f t="shared" si="80"/>
        <v>9.2069999999999999E-3</v>
      </c>
      <c r="AI151" s="99">
        <f t="shared" si="103"/>
        <v>0.93357899999999983</v>
      </c>
      <c r="AJ151" s="99" t="e">
        <f t="shared" ca="1" si="81"/>
        <v>#N/A</v>
      </c>
      <c r="AK151" s="161" t="e">
        <f t="shared" ca="1" si="104"/>
        <v>#N/A</v>
      </c>
      <c r="AL151" s="286" t="e">
        <f t="shared" ca="1" si="82"/>
        <v>#N/A</v>
      </c>
      <c r="AM151" s="285">
        <f t="shared" si="83"/>
        <v>1.0503615215545378E-2</v>
      </c>
      <c r="AN151" s="99">
        <f t="shared" si="84"/>
        <v>1.052E-2</v>
      </c>
      <c r="AO151" s="99">
        <f t="shared" si="105"/>
        <v>0.926068</v>
      </c>
      <c r="AP151" s="99" t="e">
        <f t="shared" ca="1" si="85"/>
        <v>#N/A</v>
      </c>
      <c r="AQ151" s="161" t="e">
        <f t="shared" ca="1" si="106"/>
        <v>#N/A</v>
      </c>
      <c r="AR151" s="286" t="e">
        <f t="shared" ca="1" si="86"/>
        <v>#N/A</v>
      </c>
      <c r="AS151" s="285">
        <f t="shared" si="87"/>
        <v>5.2505393839050027E-3</v>
      </c>
      <c r="AT151" s="99">
        <f t="shared" si="88"/>
        <v>5.2529999999999999E-3</v>
      </c>
      <c r="AU151" s="99">
        <f t="shared" si="107"/>
        <v>0.96821800000000013</v>
      </c>
      <c r="AV151" s="99" t="e">
        <f t="shared" ca="1" si="89"/>
        <v>#N/A</v>
      </c>
      <c r="AW151" s="161" t="e">
        <f t="shared" ca="1" si="108"/>
        <v>#N/A</v>
      </c>
      <c r="AX151" s="286" t="e">
        <f t="shared" ca="1" si="90"/>
        <v>#N/A</v>
      </c>
    </row>
    <row r="152" spans="2:64" x14ac:dyDescent="0.25">
      <c r="B152" s="104">
        <f t="shared" si="94"/>
        <v>23</v>
      </c>
      <c r="C152" s="94">
        <v>24</v>
      </c>
      <c r="D152" s="94">
        <f t="shared" si="62"/>
        <v>3.196719345571294E-3</v>
      </c>
      <c r="E152" s="94">
        <f t="shared" si="63"/>
        <v>3.1979999999999999E-3</v>
      </c>
      <c r="F152" s="94">
        <f t="shared" si="95"/>
        <v>0.98269600000000012</v>
      </c>
      <c r="G152" s="94" t="e">
        <f t="shared" ca="1" si="96"/>
        <v>#N/A</v>
      </c>
      <c r="H152" s="94" t="e">
        <f t="shared" ca="1" si="64"/>
        <v>#N/A</v>
      </c>
      <c r="I152" s="161" t="e">
        <f t="shared" ca="1" si="110"/>
        <v>#N/A</v>
      </c>
      <c r="J152" s="156" t="e">
        <f t="shared" ca="1" si="109"/>
        <v>#N/A</v>
      </c>
      <c r="K152" s="160" t="e">
        <f t="shared" ca="1" si="91"/>
        <v>#N/A</v>
      </c>
      <c r="L152" s="101" t="e">
        <f t="shared" ca="1" si="66"/>
        <v>#N/A</v>
      </c>
      <c r="M152" s="101" t="e">
        <f t="shared" ca="1" si="67"/>
        <v>#N/A</v>
      </c>
      <c r="N152" s="101" t="e">
        <f t="shared" ca="1" si="92"/>
        <v>#N/A</v>
      </c>
      <c r="O152" s="285">
        <f t="shared" si="68"/>
        <v>3.196719345571294E-3</v>
      </c>
      <c r="P152" s="99">
        <f t="shared" si="69"/>
        <v>3.1979999999999999E-3</v>
      </c>
      <c r="Q152" s="99">
        <f t="shared" si="97"/>
        <v>0.98269600000000012</v>
      </c>
      <c r="R152" s="99" t="e">
        <f t="shared" ca="1" si="70"/>
        <v>#N/A</v>
      </c>
      <c r="S152" s="161" t="e">
        <f t="shared" ca="1" si="98"/>
        <v>#N/A</v>
      </c>
      <c r="T152" s="286" t="e">
        <f t="shared" ca="1" si="71"/>
        <v>#N/A</v>
      </c>
      <c r="U152" s="285">
        <f t="shared" si="72"/>
        <v>2.2892662975346651E-4</v>
      </c>
      <c r="V152" s="99">
        <f t="shared" si="73"/>
        <v>2.2900000000000001E-4</v>
      </c>
      <c r="W152" s="99">
        <f t="shared" si="99"/>
        <v>0.99931700000000001</v>
      </c>
      <c r="X152" s="99" t="e">
        <f t="shared" ca="1" si="74"/>
        <v>#N/A</v>
      </c>
      <c r="Y152" s="161" t="e">
        <f t="shared" ca="1" si="100"/>
        <v>#N/A</v>
      </c>
      <c r="Z152" s="286" t="e">
        <f t="shared" ca="1" si="93"/>
        <v>#N/A</v>
      </c>
      <c r="AA152" s="285">
        <f t="shared" si="75"/>
        <v>1.1883613750734235E-2</v>
      </c>
      <c r="AB152" s="99">
        <f t="shared" si="76"/>
        <v>1.2045999999999999E-2</v>
      </c>
      <c r="AC152" s="99">
        <f t="shared" si="101"/>
        <v>0.87198600000000004</v>
      </c>
      <c r="AD152" s="99" t="e">
        <f t="shared" ca="1" si="77"/>
        <v>#N/A</v>
      </c>
      <c r="AE152" s="161" t="e">
        <f t="shared" ca="1" si="102"/>
        <v>#N/A</v>
      </c>
      <c r="AF152" s="286" t="e">
        <f t="shared" ca="1" si="78"/>
        <v>#N/A</v>
      </c>
      <c r="AG152" s="285">
        <f t="shared" si="79"/>
        <v>7.9917009566497273E-3</v>
      </c>
      <c r="AH152" s="99">
        <f t="shared" si="80"/>
        <v>8.005E-3</v>
      </c>
      <c r="AI152" s="99">
        <f t="shared" si="103"/>
        <v>0.94158399999999987</v>
      </c>
      <c r="AJ152" s="99" t="e">
        <f t="shared" ca="1" si="81"/>
        <v>#N/A</v>
      </c>
      <c r="AK152" s="161" t="e">
        <f t="shared" ca="1" si="104"/>
        <v>#N/A</v>
      </c>
      <c r="AL152" s="286" t="e">
        <f t="shared" ca="1" si="82"/>
        <v>#N/A</v>
      </c>
      <c r="AM152" s="285">
        <f t="shared" si="83"/>
        <v>9.117851062726676E-3</v>
      </c>
      <c r="AN152" s="99">
        <f t="shared" si="84"/>
        <v>9.1319999999999995E-3</v>
      </c>
      <c r="AO152" s="99">
        <f t="shared" si="105"/>
        <v>0.93520000000000003</v>
      </c>
      <c r="AP152" s="99" t="e">
        <f t="shared" ca="1" si="85"/>
        <v>#N/A</v>
      </c>
      <c r="AQ152" s="161" t="e">
        <f t="shared" ca="1" si="106"/>
        <v>#N/A</v>
      </c>
      <c r="AR152" s="286" t="e">
        <f t="shared" ca="1" si="86"/>
        <v>#N/A</v>
      </c>
      <c r="AS152" s="285">
        <f t="shared" si="87"/>
        <v>4.4462481891502726E-3</v>
      </c>
      <c r="AT152" s="99">
        <f t="shared" si="88"/>
        <v>4.4479999999999997E-3</v>
      </c>
      <c r="AU152" s="99">
        <f t="shared" si="107"/>
        <v>0.97266600000000014</v>
      </c>
      <c r="AV152" s="99" t="e">
        <f t="shared" ca="1" si="89"/>
        <v>#N/A</v>
      </c>
      <c r="AW152" s="161" t="e">
        <f t="shared" ca="1" si="108"/>
        <v>#N/A</v>
      </c>
      <c r="AX152" s="286" t="e">
        <f t="shared" ca="1" si="90"/>
        <v>#N/A</v>
      </c>
    </row>
    <row r="153" spans="2:64" x14ac:dyDescent="0.25">
      <c r="B153" s="104">
        <f t="shared" si="94"/>
        <v>24</v>
      </c>
      <c r="C153" s="94">
        <v>25</v>
      </c>
      <c r="D153" s="94">
        <f t="shared" si="62"/>
        <v>2.6614485774049874E-3</v>
      </c>
      <c r="E153" s="94">
        <f t="shared" si="63"/>
        <v>2.6619999999999999E-3</v>
      </c>
      <c r="F153" s="94">
        <f t="shared" si="95"/>
        <v>0.98535800000000018</v>
      </c>
      <c r="G153" s="94" t="e">
        <f t="shared" ca="1" si="96"/>
        <v>#N/A</v>
      </c>
      <c r="H153" s="94" t="e">
        <f t="shared" ca="1" si="64"/>
        <v>#N/A</v>
      </c>
      <c r="I153" s="161" t="e">
        <f t="shared" ca="1" si="110"/>
        <v>#N/A</v>
      </c>
      <c r="J153" s="156" t="e">
        <f t="shared" ca="1" si="109"/>
        <v>#N/A</v>
      </c>
      <c r="K153" s="160" t="e">
        <f t="shared" ca="1" si="91"/>
        <v>#N/A</v>
      </c>
      <c r="L153" s="101" t="e">
        <f t="shared" ca="1" si="66"/>
        <v>#N/A</v>
      </c>
      <c r="M153" s="101" t="e">
        <f t="shared" ca="1" si="67"/>
        <v>#N/A</v>
      </c>
      <c r="N153" s="101" t="e">
        <f t="shared" ca="1" si="92"/>
        <v>#N/A</v>
      </c>
      <c r="O153" s="285">
        <f t="shared" si="68"/>
        <v>2.6614485774049874E-3</v>
      </c>
      <c r="P153" s="99">
        <f t="shared" si="69"/>
        <v>2.6619999999999999E-3</v>
      </c>
      <c r="Q153" s="99">
        <f t="shared" si="97"/>
        <v>0.98535800000000018</v>
      </c>
      <c r="R153" s="99" t="e">
        <f t="shared" ca="1" si="70"/>
        <v>#N/A</v>
      </c>
      <c r="S153" s="161" t="e">
        <f t="shared" ca="1" si="98"/>
        <v>#N/A</v>
      </c>
      <c r="T153" s="286" t="e">
        <f t="shared" ca="1" si="71"/>
        <v>#N/A</v>
      </c>
      <c r="U153" s="285">
        <f t="shared" si="72"/>
        <v>1.6876630457394025E-4</v>
      </c>
      <c r="V153" s="99">
        <f t="shared" si="73"/>
        <v>1.6899999999999999E-4</v>
      </c>
      <c r="W153" s="99">
        <f t="shared" si="99"/>
        <v>0.99948599999999999</v>
      </c>
      <c r="X153" s="99" t="e">
        <f t="shared" ca="1" si="74"/>
        <v>#N/A</v>
      </c>
      <c r="Y153" s="161" t="e">
        <f t="shared" ca="1" si="100"/>
        <v>#N/A</v>
      </c>
      <c r="Z153" s="286" t="e">
        <f t="shared" ca="1" si="93"/>
        <v>#N/A</v>
      </c>
      <c r="AA153" s="285">
        <f t="shared" si="75"/>
        <v>1.0797948933567154E-2</v>
      </c>
      <c r="AB153" s="99">
        <f t="shared" si="76"/>
        <v>1.0945E-2</v>
      </c>
      <c r="AC153" s="99">
        <f t="shared" si="101"/>
        <v>0.88293100000000002</v>
      </c>
      <c r="AD153" s="99" t="e">
        <f t="shared" ca="1" si="77"/>
        <v>#N/A</v>
      </c>
      <c r="AE153" s="161" t="e">
        <f t="shared" ca="1" si="102"/>
        <v>#N/A</v>
      </c>
      <c r="AF153" s="286" t="e">
        <f t="shared" ca="1" si="78"/>
        <v>#N/A</v>
      </c>
      <c r="AG153" s="285">
        <f t="shared" si="79"/>
        <v>6.9605143047353924E-3</v>
      </c>
      <c r="AH153" s="99">
        <f t="shared" si="80"/>
        <v>6.9719999999999999E-3</v>
      </c>
      <c r="AI153" s="99">
        <f t="shared" si="103"/>
        <v>0.94855599999999984</v>
      </c>
      <c r="AJ153" s="99" t="e">
        <f t="shared" ca="1" si="81"/>
        <v>#N/A</v>
      </c>
      <c r="AK153" s="161" t="e">
        <f t="shared" ca="1" si="104"/>
        <v>#N/A</v>
      </c>
      <c r="AL153" s="286" t="e">
        <f t="shared" ca="1" si="82"/>
        <v>#N/A</v>
      </c>
      <c r="AM153" s="285">
        <f t="shared" si="83"/>
        <v>7.9253716470935511E-3</v>
      </c>
      <c r="AN153" s="99">
        <f t="shared" si="84"/>
        <v>7.9369999999999996E-3</v>
      </c>
      <c r="AO153" s="99">
        <f t="shared" si="105"/>
        <v>0.943137</v>
      </c>
      <c r="AP153" s="99" t="e">
        <f t="shared" ca="1" si="85"/>
        <v>#N/A</v>
      </c>
      <c r="AQ153" s="161" t="e">
        <f t="shared" ca="1" si="106"/>
        <v>#N/A</v>
      </c>
      <c r="AR153" s="286" t="e">
        <f t="shared" ca="1" si="86"/>
        <v>#N/A</v>
      </c>
      <c r="AS153" s="285">
        <f t="shared" si="87"/>
        <v>3.7748908303941219E-3</v>
      </c>
      <c r="AT153" s="99">
        <f t="shared" si="88"/>
        <v>3.777E-3</v>
      </c>
      <c r="AU153" s="99">
        <f t="shared" si="107"/>
        <v>0.97644300000000017</v>
      </c>
      <c r="AV153" s="99" t="e">
        <f t="shared" ca="1" si="89"/>
        <v>#N/A</v>
      </c>
      <c r="AW153" s="161" t="e">
        <f t="shared" ca="1" si="108"/>
        <v>#N/A</v>
      </c>
      <c r="AX153" s="286" t="e">
        <f t="shared" ca="1" si="90"/>
        <v>#N/A</v>
      </c>
    </row>
    <row r="154" spans="2:64" x14ac:dyDescent="0.25">
      <c r="B154" s="104">
        <f t="shared" si="94"/>
        <v>25</v>
      </c>
      <c r="C154" s="94">
        <v>26</v>
      </c>
      <c r="D154" s="94">
        <f t="shared" si="62"/>
        <v>2.2222189685945446E-3</v>
      </c>
      <c r="E154" s="94">
        <f t="shared" si="63"/>
        <v>2.2230000000000001E-3</v>
      </c>
      <c r="F154" s="94">
        <f t="shared" si="95"/>
        <v>0.98758100000000015</v>
      </c>
      <c r="G154" s="94" t="e">
        <f t="shared" ca="1" si="96"/>
        <v>#N/A</v>
      </c>
      <c r="H154" s="94" t="e">
        <f t="shared" ca="1" si="64"/>
        <v>#N/A</v>
      </c>
      <c r="I154" s="161" t="e">
        <f t="shared" ca="1" si="110"/>
        <v>#N/A</v>
      </c>
      <c r="J154" s="156" t="e">
        <f t="shared" ca="1" si="109"/>
        <v>#N/A</v>
      </c>
      <c r="K154" s="160" t="e">
        <f t="shared" ca="1" si="91"/>
        <v>#N/A</v>
      </c>
      <c r="L154" s="101" t="e">
        <f t="shared" ca="1" si="66"/>
        <v>#N/A</v>
      </c>
      <c r="M154" s="101" t="e">
        <f t="shared" ca="1" si="67"/>
        <v>#N/A</v>
      </c>
      <c r="N154" s="101" t="e">
        <f t="shared" ca="1" si="92"/>
        <v>#N/A</v>
      </c>
      <c r="O154" s="285">
        <f t="shared" si="68"/>
        <v>2.2222189685945446E-3</v>
      </c>
      <c r="P154" s="99">
        <f t="shared" si="69"/>
        <v>2.2230000000000001E-3</v>
      </c>
      <c r="Q154" s="99">
        <f t="shared" si="97"/>
        <v>0.98758100000000015</v>
      </c>
      <c r="R154" s="99" t="e">
        <f t="shared" ca="1" si="70"/>
        <v>#N/A</v>
      </c>
      <c r="S154" s="161" t="e">
        <f t="shared" ca="1" si="98"/>
        <v>#N/A</v>
      </c>
      <c r="T154" s="286" t="e">
        <f t="shared" ca="1" si="71"/>
        <v>#N/A</v>
      </c>
      <c r="U154" s="285">
        <f t="shared" si="72"/>
        <v>1.251075517505444E-4</v>
      </c>
      <c r="V154" s="99">
        <f t="shared" si="73"/>
        <v>1.25E-4</v>
      </c>
      <c r="W154" s="99">
        <f t="shared" si="99"/>
        <v>0.99961100000000003</v>
      </c>
      <c r="X154" s="99" t="e">
        <f t="shared" ca="1" si="74"/>
        <v>#N/A</v>
      </c>
      <c r="Y154" s="161" t="e">
        <f t="shared" ca="1" si="100"/>
        <v>#N/A</v>
      </c>
      <c r="Z154" s="286" t="e">
        <f t="shared" ca="1" si="93"/>
        <v>#N/A</v>
      </c>
      <c r="AA154" s="285">
        <f t="shared" si="75"/>
        <v>9.824404898080185E-3</v>
      </c>
      <c r="AB154" s="99">
        <f t="shared" si="76"/>
        <v>9.9590000000000008E-3</v>
      </c>
      <c r="AC154" s="99">
        <f t="shared" si="101"/>
        <v>0.89289000000000007</v>
      </c>
      <c r="AD154" s="99" t="e">
        <f t="shared" ca="1" si="77"/>
        <v>#N/A</v>
      </c>
      <c r="AE154" s="161" t="e">
        <f t="shared" ca="1" si="102"/>
        <v>#N/A</v>
      </c>
      <c r="AF154" s="286" t="e">
        <f t="shared" ca="1" si="78"/>
        <v>#N/A</v>
      </c>
      <c r="AG154" s="285">
        <f t="shared" si="79"/>
        <v>6.0728605563528763E-3</v>
      </c>
      <c r="AH154" s="99">
        <f t="shared" si="80"/>
        <v>6.0829999999999999E-3</v>
      </c>
      <c r="AI154" s="99">
        <f t="shared" si="103"/>
        <v>0.95463899999999979</v>
      </c>
      <c r="AJ154" s="99" t="e">
        <f t="shared" ca="1" si="81"/>
        <v>#N/A</v>
      </c>
      <c r="AK154" s="161" t="e">
        <f t="shared" ca="1" si="104"/>
        <v>#N/A</v>
      </c>
      <c r="AL154" s="286" t="e">
        <f t="shared" ca="1" si="82"/>
        <v>#N/A</v>
      </c>
      <c r="AM154" s="285">
        <f t="shared" si="83"/>
        <v>6.8984206370819858E-3</v>
      </c>
      <c r="AN154" s="99">
        <f t="shared" si="84"/>
        <v>6.9090000000000002E-3</v>
      </c>
      <c r="AO154" s="99">
        <f t="shared" si="105"/>
        <v>0.95004600000000006</v>
      </c>
      <c r="AP154" s="99" t="e">
        <f t="shared" ca="1" si="85"/>
        <v>#N/A</v>
      </c>
      <c r="AQ154" s="161" t="e">
        <f t="shared" ca="1" si="106"/>
        <v>#N/A</v>
      </c>
      <c r="AR154" s="286" t="e">
        <f t="shared" ca="1" si="86"/>
        <v>#N/A</v>
      </c>
      <c r="AS154" s="285">
        <f t="shared" si="87"/>
        <v>3.213056305861908E-3</v>
      </c>
      <c r="AT154" s="99">
        <f t="shared" si="88"/>
        <v>3.215E-3</v>
      </c>
      <c r="AU154" s="99">
        <f t="shared" si="107"/>
        <v>0.97965800000000014</v>
      </c>
      <c r="AV154" s="99" t="e">
        <f t="shared" ca="1" si="89"/>
        <v>#N/A</v>
      </c>
      <c r="AW154" s="161" t="e">
        <f t="shared" ca="1" si="108"/>
        <v>#N/A</v>
      </c>
      <c r="AX154" s="286" t="e">
        <f t="shared" ca="1" si="90"/>
        <v>#N/A</v>
      </c>
    </row>
    <row r="155" spans="2:64" x14ac:dyDescent="0.25">
      <c r="B155" s="104">
        <f t="shared" si="94"/>
        <v>26</v>
      </c>
      <c r="C155" s="94">
        <v>27</v>
      </c>
      <c r="D155" s="94">
        <f t="shared" si="62"/>
        <v>1.8607378448446874E-3</v>
      </c>
      <c r="E155" s="94">
        <f t="shared" si="63"/>
        <v>1.861E-3</v>
      </c>
      <c r="F155" s="94">
        <f t="shared" si="95"/>
        <v>0.98944200000000015</v>
      </c>
      <c r="G155" s="94" t="e">
        <f t="shared" ca="1" si="96"/>
        <v>#N/A</v>
      </c>
      <c r="H155" s="94" t="e">
        <f t="shared" ca="1" si="64"/>
        <v>#N/A</v>
      </c>
      <c r="I155" s="161" t="e">
        <f t="shared" ca="1" si="110"/>
        <v>#N/A</v>
      </c>
      <c r="J155" s="156" t="e">
        <f t="shared" ca="1" si="109"/>
        <v>#N/A</v>
      </c>
      <c r="K155" s="160" t="e">
        <f t="shared" ca="1" si="91"/>
        <v>#N/A</v>
      </c>
      <c r="L155" s="101" t="e">
        <f t="shared" ca="1" si="66"/>
        <v>#N/A</v>
      </c>
      <c r="M155" s="101" t="e">
        <f t="shared" ca="1" si="67"/>
        <v>#N/A</v>
      </c>
      <c r="N155" s="101" t="e">
        <f t="shared" ca="1" si="92"/>
        <v>#N/A</v>
      </c>
      <c r="O155" s="285">
        <f t="shared" si="68"/>
        <v>1.8607378448446874E-3</v>
      </c>
      <c r="P155" s="99">
        <f t="shared" si="69"/>
        <v>1.861E-3</v>
      </c>
      <c r="Q155" s="99">
        <f t="shared" si="97"/>
        <v>0.98944200000000015</v>
      </c>
      <c r="R155" s="99" t="e">
        <f t="shared" ca="1" si="70"/>
        <v>#N/A</v>
      </c>
      <c r="S155" s="161" t="e">
        <f t="shared" ca="1" si="98"/>
        <v>#N/A</v>
      </c>
      <c r="T155" s="286" t="e">
        <f t="shared" ca="1" si="71"/>
        <v>#N/A</v>
      </c>
      <c r="U155" s="285">
        <f t="shared" si="72"/>
        <v>9.3241877179279419E-5</v>
      </c>
      <c r="V155" s="99">
        <f t="shared" si="73"/>
        <v>9.2999999999999997E-5</v>
      </c>
      <c r="W155" s="99">
        <f t="shared" si="99"/>
        <v>0.99970400000000004</v>
      </c>
      <c r="X155" s="99" t="e">
        <f t="shared" ca="1" si="74"/>
        <v>#N/A</v>
      </c>
      <c r="Y155" s="161" t="e">
        <f t="shared" ca="1" si="100"/>
        <v>#N/A</v>
      </c>
      <c r="Z155" s="286" t="e">
        <f t="shared" ca="1" si="93"/>
        <v>#N/A</v>
      </c>
      <c r="AA155" s="285">
        <f t="shared" si="75"/>
        <v>8.9503398998310654E-3</v>
      </c>
      <c r="AB155" s="99">
        <f t="shared" si="76"/>
        <v>9.0729999999999995E-3</v>
      </c>
      <c r="AC155" s="99">
        <f t="shared" si="101"/>
        <v>0.90196300000000007</v>
      </c>
      <c r="AD155" s="99" t="e">
        <f t="shared" ca="1" si="77"/>
        <v>#N/A</v>
      </c>
      <c r="AE155" s="161" t="e">
        <f t="shared" ca="1" si="102"/>
        <v>#N/A</v>
      </c>
      <c r="AF155" s="286" t="e">
        <f t="shared" ca="1" si="78"/>
        <v>#N/A</v>
      </c>
      <c r="AG155" s="285">
        <f t="shared" si="79"/>
        <v>5.3075969860392818E-3</v>
      </c>
      <c r="AH155" s="99">
        <f t="shared" si="80"/>
        <v>5.3169999999999997E-3</v>
      </c>
      <c r="AI155" s="99">
        <f t="shared" si="103"/>
        <v>0.95995599999999981</v>
      </c>
      <c r="AJ155" s="99" t="e">
        <f t="shared" ca="1" si="81"/>
        <v>#N/A</v>
      </c>
      <c r="AK155" s="161" t="e">
        <f t="shared" ca="1" si="104"/>
        <v>#N/A</v>
      </c>
      <c r="AL155" s="286" t="e">
        <f t="shared" ca="1" si="82"/>
        <v>#N/A</v>
      </c>
      <c r="AM155" s="285">
        <f t="shared" si="83"/>
        <v>6.013165957866635E-3</v>
      </c>
      <c r="AN155" s="99">
        <f t="shared" si="84"/>
        <v>6.0219999999999996E-3</v>
      </c>
      <c r="AO155" s="99">
        <f t="shared" si="105"/>
        <v>0.95606800000000003</v>
      </c>
      <c r="AP155" s="99" t="e">
        <f t="shared" ca="1" si="85"/>
        <v>#N/A</v>
      </c>
      <c r="AQ155" s="161" t="e">
        <f t="shared" ca="1" si="106"/>
        <v>#N/A</v>
      </c>
      <c r="AR155" s="286" t="e">
        <f t="shared" ca="1" si="86"/>
        <v>#N/A</v>
      </c>
      <c r="AS155" s="285">
        <f t="shared" si="87"/>
        <v>2.7416666256641891E-3</v>
      </c>
      <c r="AT155" s="99">
        <f t="shared" si="88"/>
        <v>2.7430000000000002E-3</v>
      </c>
      <c r="AU155" s="99">
        <f t="shared" si="107"/>
        <v>0.98240100000000019</v>
      </c>
      <c r="AV155" s="99" t="e">
        <f t="shared" ca="1" si="89"/>
        <v>#N/A</v>
      </c>
      <c r="AW155" s="161" t="e">
        <f t="shared" ca="1" si="108"/>
        <v>#N/A</v>
      </c>
      <c r="AX155" s="286" t="e">
        <f t="shared" ca="1" si="90"/>
        <v>#N/A</v>
      </c>
    </row>
    <row r="156" spans="2:64" x14ac:dyDescent="0.25">
      <c r="B156" s="104">
        <f t="shared" si="94"/>
        <v>27</v>
      </c>
      <c r="C156" s="94">
        <v>28</v>
      </c>
      <c r="D156" s="94">
        <f t="shared" si="62"/>
        <v>1.5623751653792107E-3</v>
      </c>
      <c r="E156" s="94">
        <f t="shared" si="63"/>
        <v>1.5629999999999999E-3</v>
      </c>
      <c r="F156" s="94">
        <f t="shared" si="95"/>
        <v>0.99100500000000014</v>
      </c>
      <c r="G156" s="94" t="e">
        <f t="shared" ca="1" si="96"/>
        <v>#N/A</v>
      </c>
      <c r="H156" s="94" t="e">
        <f t="shared" ca="1" si="64"/>
        <v>#N/A</v>
      </c>
      <c r="I156" s="161" t="e">
        <f t="shared" ca="1" si="110"/>
        <v>#N/A</v>
      </c>
      <c r="J156" s="156" t="e">
        <f t="shared" ca="1" si="109"/>
        <v>#N/A</v>
      </c>
      <c r="K156" s="160" t="e">
        <f t="shared" ca="1" si="91"/>
        <v>#N/A</v>
      </c>
      <c r="L156" s="101" t="e">
        <f t="shared" ca="1" si="66"/>
        <v>#N/A</v>
      </c>
      <c r="M156" s="101" t="e">
        <f t="shared" ca="1" si="67"/>
        <v>#N/A</v>
      </c>
      <c r="N156" s="101" t="e">
        <f t="shared" ca="1" si="92"/>
        <v>#N/A</v>
      </c>
      <c r="O156" s="285">
        <f t="shared" si="68"/>
        <v>1.5623751653792107E-3</v>
      </c>
      <c r="P156" s="99">
        <f t="shared" si="69"/>
        <v>1.5629999999999999E-3</v>
      </c>
      <c r="Q156" s="99">
        <f t="shared" si="97"/>
        <v>0.99100500000000014</v>
      </c>
      <c r="R156" s="99" t="e">
        <f t="shared" ca="1" si="70"/>
        <v>#N/A</v>
      </c>
      <c r="S156" s="161" t="e">
        <f t="shared" ca="1" si="98"/>
        <v>#N/A</v>
      </c>
      <c r="T156" s="286" t="e">
        <f t="shared" ca="1" si="71"/>
        <v>#N/A</v>
      </c>
      <c r="U156" s="285">
        <f t="shared" si="72"/>
        <v>6.9853913751640335E-5</v>
      </c>
      <c r="V156" s="99">
        <f t="shared" si="73"/>
        <v>6.9999999999999994E-5</v>
      </c>
      <c r="W156" s="99">
        <f t="shared" si="99"/>
        <v>0.99977400000000005</v>
      </c>
      <c r="X156" s="99" t="e">
        <f t="shared" ca="1" si="74"/>
        <v>#N/A</v>
      </c>
      <c r="Y156" s="161" t="e">
        <f t="shared" ca="1" si="100"/>
        <v>#N/A</v>
      </c>
      <c r="Z156" s="286" t="e">
        <f t="shared" ca="1" si="93"/>
        <v>#N/A</v>
      </c>
      <c r="AA156" s="285">
        <f t="shared" si="75"/>
        <v>8.1645973578734349E-3</v>
      </c>
      <c r="AB156" s="99">
        <f t="shared" si="76"/>
        <v>8.2760000000000004E-3</v>
      </c>
      <c r="AC156" s="99">
        <f t="shared" si="101"/>
        <v>0.91023900000000002</v>
      </c>
      <c r="AD156" s="99" t="e">
        <f t="shared" ca="1" si="77"/>
        <v>#N/A</v>
      </c>
      <c r="AE156" s="161" t="e">
        <f t="shared" ca="1" si="102"/>
        <v>#N/A</v>
      </c>
      <c r="AF156" s="286" t="e">
        <f t="shared" ca="1" si="78"/>
        <v>#N/A</v>
      </c>
      <c r="AG156" s="285">
        <f t="shared" si="79"/>
        <v>4.6467943321189384E-3</v>
      </c>
      <c r="AH156" s="99">
        <f t="shared" si="80"/>
        <v>4.6550000000000003E-3</v>
      </c>
      <c r="AI156" s="99">
        <f t="shared" si="103"/>
        <v>0.96461099999999977</v>
      </c>
      <c r="AJ156" s="99" t="e">
        <f t="shared" ca="1" si="81"/>
        <v>#N/A</v>
      </c>
      <c r="AK156" s="161" t="e">
        <f t="shared" ca="1" si="104"/>
        <v>#N/A</v>
      </c>
      <c r="AL156" s="286" t="e">
        <f t="shared" ca="1" si="82"/>
        <v>#N/A</v>
      </c>
      <c r="AM156" s="285">
        <f t="shared" si="83"/>
        <v>5.2492083369646862E-3</v>
      </c>
      <c r="AN156" s="99">
        <f t="shared" si="84"/>
        <v>5.2570000000000004E-3</v>
      </c>
      <c r="AO156" s="99">
        <f t="shared" si="105"/>
        <v>0.96132499999999999</v>
      </c>
      <c r="AP156" s="99" t="e">
        <f t="shared" ca="1" si="85"/>
        <v>#N/A</v>
      </c>
      <c r="AQ156" s="161" t="e">
        <f t="shared" ca="1" si="106"/>
        <v>#N/A</v>
      </c>
      <c r="AR156" s="286" t="e">
        <f t="shared" ca="1" si="86"/>
        <v>#N/A</v>
      </c>
      <c r="AS156" s="285">
        <f t="shared" si="87"/>
        <v>2.3451480614694346E-3</v>
      </c>
      <c r="AT156" s="99">
        <f t="shared" si="88"/>
        <v>2.346E-3</v>
      </c>
      <c r="AU156" s="99">
        <f t="shared" si="107"/>
        <v>0.98474700000000015</v>
      </c>
      <c r="AV156" s="99" t="e">
        <f t="shared" ca="1" si="89"/>
        <v>#N/A</v>
      </c>
      <c r="AW156" s="161" t="e">
        <f t="shared" ca="1" si="108"/>
        <v>#N/A</v>
      </c>
      <c r="AX156" s="286" t="e">
        <f t="shared" ca="1" si="90"/>
        <v>#N/A</v>
      </c>
    </row>
    <row r="157" spans="2:64" x14ac:dyDescent="0.25">
      <c r="B157" s="104">
        <f t="shared" si="94"/>
        <v>28</v>
      </c>
      <c r="C157" s="94">
        <v>29</v>
      </c>
      <c r="D157" s="94">
        <f t="shared" si="62"/>
        <v>1.3154009647814789E-3</v>
      </c>
      <c r="E157" s="94">
        <f t="shared" si="63"/>
        <v>1.3159999999999999E-3</v>
      </c>
      <c r="F157" s="94">
        <f t="shared" si="95"/>
        <v>0.99232100000000012</v>
      </c>
      <c r="G157" s="94" t="e">
        <f t="shared" ca="1" si="96"/>
        <v>#N/A</v>
      </c>
      <c r="H157" s="94" t="e">
        <f t="shared" ca="1" si="64"/>
        <v>#N/A</v>
      </c>
      <c r="I157" s="161" t="e">
        <f t="shared" ca="1" si="110"/>
        <v>#N/A</v>
      </c>
      <c r="J157" s="156" t="e">
        <f t="shared" ca="1" si="109"/>
        <v>#N/A</v>
      </c>
      <c r="K157" s="160" t="e">
        <f t="shared" ca="1" si="91"/>
        <v>#N/A</v>
      </c>
      <c r="L157" s="101" t="e">
        <f t="shared" ca="1" si="66"/>
        <v>#N/A</v>
      </c>
      <c r="M157" s="101" t="e">
        <f t="shared" ca="1" si="67"/>
        <v>#N/A</v>
      </c>
      <c r="N157" s="101" t="e">
        <f t="shared" ca="1" si="92"/>
        <v>#N/A</v>
      </c>
      <c r="O157" s="285">
        <f t="shared" si="68"/>
        <v>1.3154009647814789E-3</v>
      </c>
      <c r="P157" s="99">
        <f t="shared" si="69"/>
        <v>1.3159999999999999E-3</v>
      </c>
      <c r="Q157" s="99">
        <f t="shared" si="97"/>
        <v>0.99232100000000012</v>
      </c>
      <c r="R157" s="99" t="e">
        <f t="shared" ca="1" si="70"/>
        <v>#N/A</v>
      </c>
      <c r="S157" s="161" t="e">
        <f t="shared" ca="1" si="98"/>
        <v>#N/A</v>
      </c>
      <c r="T157" s="286" t="e">
        <f t="shared" ca="1" si="71"/>
        <v>#N/A</v>
      </c>
      <c r="U157" s="285">
        <f t="shared" si="72"/>
        <v>5.2595318784662845E-5</v>
      </c>
      <c r="V157" s="99">
        <f t="shared" si="73"/>
        <v>5.3000000000000001E-5</v>
      </c>
      <c r="W157" s="99">
        <f t="shared" si="99"/>
        <v>0.99982700000000002</v>
      </c>
      <c r="X157" s="99" t="e">
        <f t="shared" ca="1" si="74"/>
        <v>#N/A</v>
      </c>
      <c r="Y157" s="161" t="e">
        <f t="shared" ca="1" si="100"/>
        <v>#N/A</v>
      </c>
      <c r="Z157" s="286" t="e">
        <f t="shared" ca="1" si="93"/>
        <v>#N/A</v>
      </c>
      <c r="AA157" s="285">
        <f t="shared" si="75"/>
        <v>7.4573394177665283E-3</v>
      </c>
      <c r="AB157" s="99">
        <f t="shared" si="76"/>
        <v>7.5589999999999997E-3</v>
      </c>
      <c r="AC157" s="99">
        <f t="shared" si="101"/>
        <v>0.917798</v>
      </c>
      <c r="AD157" s="99" t="e">
        <f t="shared" ca="1" si="77"/>
        <v>#N/A</v>
      </c>
      <c r="AE157" s="161" t="e">
        <f t="shared" ca="1" si="102"/>
        <v>#N/A</v>
      </c>
      <c r="AF157" s="286" t="e">
        <f t="shared" ca="1" si="78"/>
        <v>#N/A</v>
      </c>
      <c r="AG157" s="285">
        <f t="shared" si="79"/>
        <v>4.0752533020004178E-3</v>
      </c>
      <c r="AH157" s="99">
        <f t="shared" si="80"/>
        <v>4.0819999999999997E-3</v>
      </c>
      <c r="AI157" s="99">
        <f t="shared" si="103"/>
        <v>0.9686929999999998</v>
      </c>
      <c r="AJ157" s="99" t="e">
        <f t="shared" ca="1" si="81"/>
        <v>#N/A</v>
      </c>
      <c r="AK157" s="161" t="e">
        <f t="shared" ca="1" si="104"/>
        <v>#N/A</v>
      </c>
      <c r="AL157" s="286" t="e">
        <f t="shared" ca="1" si="82"/>
        <v>#N/A</v>
      </c>
      <c r="AM157" s="285">
        <f t="shared" si="83"/>
        <v>4.5891224761996884E-3</v>
      </c>
      <c r="AN157" s="99">
        <f t="shared" si="84"/>
        <v>4.5960000000000003E-3</v>
      </c>
      <c r="AO157" s="99">
        <f t="shared" si="105"/>
        <v>0.96592100000000003</v>
      </c>
      <c r="AP157" s="99" t="e">
        <f t="shared" ca="1" si="85"/>
        <v>#N/A</v>
      </c>
      <c r="AQ157" s="161" t="e">
        <f t="shared" ca="1" si="106"/>
        <v>#N/A</v>
      </c>
      <c r="AR157" s="286" t="e">
        <f t="shared" ca="1" si="86"/>
        <v>#N/A</v>
      </c>
      <c r="AS157" s="285">
        <f t="shared" si="87"/>
        <v>2.01076228853803E-3</v>
      </c>
      <c r="AT157" s="99">
        <f t="shared" si="88"/>
        <v>2.0119999999999999E-3</v>
      </c>
      <c r="AU157" s="99">
        <f t="shared" si="107"/>
        <v>0.98675900000000016</v>
      </c>
      <c r="AV157" s="99" t="e">
        <f t="shared" ca="1" si="89"/>
        <v>#N/A</v>
      </c>
      <c r="AW157" s="161" t="e">
        <f t="shared" ca="1" si="108"/>
        <v>#N/A</v>
      </c>
      <c r="AX157" s="286" t="e">
        <f t="shared" ca="1" si="90"/>
        <v>#N/A</v>
      </c>
    </row>
    <row r="158" spans="2:64" x14ac:dyDescent="0.25">
      <c r="B158" s="104">
        <f t="shared" si="94"/>
        <v>29</v>
      </c>
      <c r="C158" s="94">
        <v>30</v>
      </c>
      <c r="D158" s="94">
        <f t="shared" si="62"/>
        <v>1.1103856750953145E-3</v>
      </c>
      <c r="E158" s="94">
        <f t="shared" si="63"/>
        <v>1.111E-3</v>
      </c>
      <c r="F158" s="94">
        <f t="shared" si="95"/>
        <v>0.99343200000000009</v>
      </c>
      <c r="G158" s="94" t="e">
        <f t="shared" ca="1" si="96"/>
        <v>#N/A</v>
      </c>
      <c r="H158" s="94" t="e">
        <f t="shared" ca="1" si="64"/>
        <v>#N/A</v>
      </c>
      <c r="I158" s="161" t="e">
        <f t="shared" ca="1" si="110"/>
        <v>#N/A</v>
      </c>
      <c r="J158" s="156" t="e">
        <f t="shared" ca="1" si="109"/>
        <v>#N/A</v>
      </c>
      <c r="K158" s="160" t="e">
        <f t="shared" ca="1" si="91"/>
        <v>#N/A</v>
      </c>
      <c r="L158" s="101" t="e">
        <f t="shared" ca="1" si="66"/>
        <v>#N/A</v>
      </c>
      <c r="M158" s="101" t="e">
        <f t="shared" ca="1" si="67"/>
        <v>#N/A</v>
      </c>
      <c r="N158" s="101" t="e">
        <f t="shared" ca="1" si="92"/>
        <v>#N/A</v>
      </c>
      <c r="O158" s="285">
        <f t="shared" si="68"/>
        <v>1.1103856750953145E-3</v>
      </c>
      <c r="P158" s="99">
        <f t="shared" si="69"/>
        <v>1.111E-3</v>
      </c>
      <c r="Q158" s="99">
        <f t="shared" si="97"/>
        <v>0.99343200000000009</v>
      </c>
      <c r="R158" s="99" t="e">
        <f t="shared" ca="1" si="70"/>
        <v>#N/A</v>
      </c>
      <c r="S158" s="161" t="e">
        <f t="shared" ca="1" si="98"/>
        <v>#N/A</v>
      </c>
      <c r="T158" s="286" t="e">
        <f t="shared" ca="1" si="71"/>
        <v>#N/A</v>
      </c>
      <c r="U158" s="285">
        <f t="shared" si="72"/>
        <v>3.979299336843938E-5</v>
      </c>
      <c r="V158" s="99">
        <f t="shared" si="73"/>
        <v>4.0000000000000003E-5</v>
      </c>
      <c r="W158" s="99">
        <f t="shared" si="99"/>
        <v>0.99986700000000006</v>
      </c>
      <c r="X158" s="99" t="e">
        <f t="shared" ca="1" si="74"/>
        <v>#N/A</v>
      </c>
      <c r="Y158" s="161" t="e">
        <f t="shared" ca="1" si="100"/>
        <v>#N/A</v>
      </c>
      <c r="Z158" s="286" t="e">
        <f t="shared" ca="1" si="93"/>
        <v>#N/A</v>
      </c>
      <c r="AA158" s="285">
        <f t="shared" si="75"/>
        <v>6.8198935934043435E-3</v>
      </c>
      <c r="AB158" s="99">
        <f t="shared" si="76"/>
        <v>6.9129999999999999E-3</v>
      </c>
      <c r="AC158" s="99">
        <f t="shared" si="101"/>
        <v>0.92471099999999995</v>
      </c>
      <c r="AD158" s="99" t="e">
        <f t="shared" ca="1" si="77"/>
        <v>#N/A</v>
      </c>
      <c r="AE158" s="161" t="e">
        <f t="shared" ca="1" si="102"/>
        <v>#N/A</v>
      </c>
      <c r="AF158" s="286" t="e">
        <f t="shared" ca="1" si="78"/>
        <v>#N/A</v>
      </c>
      <c r="AG158" s="285">
        <f t="shared" si="79"/>
        <v>3.5800866621878689E-3</v>
      </c>
      <c r="AH158" s="99">
        <f t="shared" si="80"/>
        <v>3.5860000000000002E-3</v>
      </c>
      <c r="AI158" s="99">
        <f t="shared" si="103"/>
        <v>0.97227899999999978</v>
      </c>
      <c r="AJ158" s="99" t="e">
        <f t="shared" ca="1" si="81"/>
        <v>#N/A</v>
      </c>
      <c r="AK158" s="161" t="e">
        <f t="shared" ca="1" si="104"/>
        <v>#N/A</v>
      </c>
      <c r="AL158" s="286" t="e">
        <f t="shared" ca="1" si="82"/>
        <v>#N/A</v>
      </c>
      <c r="AM158" s="285">
        <f t="shared" si="83"/>
        <v>4.0180420123171485E-3</v>
      </c>
      <c r="AN158" s="99">
        <f t="shared" si="84"/>
        <v>4.0239999999999998E-3</v>
      </c>
      <c r="AO158" s="99">
        <f t="shared" si="105"/>
        <v>0.96994500000000006</v>
      </c>
      <c r="AP158" s="99" t="e">
        <f t="shared" ca="1" si="85"/>
        <v>#N/A</v>
      </c>
      <c r="AQ158" s="161" t="e">
        <f t="shared" ca="1" si="106"/>
        <v>#N/A</v>
      </c>
      <c r="AR158" s="286" t="e">
        <f t="shared" ca="1" si="86"/>
        <v>#N/A</v>
      </c>
      <c r="AS158" s="285">
        <f t="shared" si="87"/>
        <v>1.7280676135097844E-3</v>
      </c>
      <c r="AT158" s="99">
        <f t="shared" si="88"/>
        <v>1.7290000000000001E-3</v>
      </c>
      <c r="AU158" s="99">
        <f t="shared" si="107"/>
        <v>0.98848800000000014</v>
      </c>
      <c r="AV158" s="99" t="e">
        <f t="shared" ca="1" si="89"/>
        <v>#N/A</v>
      </c>
      <c r="AW158" s="161" t="e">
        <f t="shared" ca="1" si="108"/>
        <v>#N/A</v>
      </c>
      <c r="AX158" s="286" t="e">
        <f t="shared" ca="1" si="90"/>
        <v>#N/A</v>
      </c>
    </row>
    <row r="159" spans="2:64" x14ac:dyDescent="0.25">
      <c r="B159" s="104">
        <f t="shared" si="94"/>
        <v>30</v>
      </c>
      <c r="C159" s="94">
        <v>31</v>
      </c>
      <c r="D159" s="94">
        <f t="shared" si="62"/>
        <v>9.3972830995026535E-4</v>
      </c>
      <c r="E159" s="94">
        <f t="shared" si="63"/>
        <v>9.3999999999999997E-4</v>
      </c>
      <c r="F159" s="94">
        <f t="shared" si="95"/>
        <v>0.99437200000000014</v>
      </c>
      <c r="G159" s="94" t="e">
        <f t="shared" ca="1" si="96"/>
        <v>#N/A</v>
      </c>
      <c r="H159" s="94" t="e">
        <f t="shared" ca="1" si="64"/>
        <v>#N/A</v>
      </c>
      <c r="I159" s="161" t="e">
        <f t="shared" ca="1" si="110"/>
        <v>#N/A</v>
      </c>
      <c r="J159" s="156" t="e">
        <f t="shared" ca="1" si="109"/>
        <v>#N/A</v>
      </c>
      <c r="K159" s="160" t="e">
        <f t="shared" ca="1" si="91"/>
        <v>#N/A</v>
      </c>
      <c r="L159" s="101" t="e">
        <f t="shared" ca="1" si="66"/>
        <v>#N/A</v>
      </c>
      <c r="M159" s="101" t="e">
        <f t="shared" ca="1" si="67"/>
        <v>#N/A</v>
      </c>
      <c r="N159" s="101" t="e">
        <f t="shared" ca="1" si="92"/>
        <v>#N/A</v>
      </c>
      <c r="O159" s="285">
        <f t="shared" si="68"/>
        <v>9.3972830995026535E-4</v>
      </c>
      <c r="P159" s="99">
        <f t="shared" si="69"/>
        <v>9.3999999999999997E-4</v>
      </c>
      <c r="Q159" s="99">
        <f t="shared" si="97"/>
        <v>0.99437200000000014</v>
      </c>
      <c r="R159" s="99" t="e">
        <f t="shared" ca="1" si="70"/>
        <v>#N/A</v>
      </c>
      <c r="S159" s="161" t="e">
        <f t="shared" ca="1" si="98"/>
        <v>#N/A</v>
      </c>
      <c r="T159" s="286" t="e">
        <f t="shared" ca="1" si="71"/>
        <v>#N/A</v>
      </c>
      <c r="U159" s="285">
        <f t="shared" si="72"/>
        <v>3.0248113538498467E-5</v>
      </c>
      <c r="V159" s="99">
        <f t="shared" si="73"/>
        <v>3.0000000000000001E-5</v>
      </c>
      <c r="W159" s="99">
        <f t="shared" si="99"/>
        <v>0.99989700000000004</v>
      </c>
      <c r="X159" s="99" t="e">
        <f t="shared" ca="1" si="74"/>
        <v>#N/A</v>
      </c>
      <c r="Y159" s="161" t="e">
        <f t="shared" ca="1" si="100"/>
        <v>#N/A</v>
      </c>
      <c r="Z159" s="286" t="e">
        <f t="shared" ca="1" si="93"/>
        <v>#N/A</v>
      </c>
      <c r="AA159" s="285">
        <f t="shared" si="75"/>
        <v>6.2446139010798032E-3</v>
      </c>
      <c r="AB159" s="99">
        <f t="shared" si="76"/>
        <v>6.3299999999999997E-3</v>
      </c>
      <c r="AC159" s="99">
        <f t="shared" si="101"/>
        <v>0.9310409999999999</v>
      </c>
      <c r="AD159" s="99" t="e">
        <f t="shared" ca="1" si="77"/>
        <v>#N/A</v>
      </c>
      <c r="AE159" s="161" t="e">
        <f t="shared" ca="1" si="102"/>
        <v>#N/A</v>
      </c>
      <c r="AF159" s="286" t="e">
        <f t="shared" ca="1" si="78"/>
        <v>#N/A</v>
      </c>
      <c r="AG159" s="285">
        <f t="shared" si="79"/>
        <v>3.1503615250078544E-3</v>
      </c>
      <c r="AH159" s="99">
        <f t="shared" si="80"/>
        <v>3.156E-3</v>
      </c>
      <c r="AI159" s="99">
        <f t="shared" si="103"/>
        <v>0.97543499999999983</v>
      </c>
      <c r="AJ159" s="99" t="e">
        <f t="shared" ca="1" si="81"/>
        <v>#N/A</v>
      </c>
      <c r="AK159" s="161" t="e">
        <f t="shared" ca="1" si="104"/>
        <v>#N/A</v>
      </c>
      <c r="AL159" s="286" t="e">
        <f t="shared" ca="1" si="82"/>
        <v>#N/A</v>
      </c>
      <c r="AM159" s="285">
        <f t="shared" si="83"/>
        <v>3.5232918146999911E-3</v>
      </c>
      <c r="AN159" s="99">
        <f t="shared" si="84"/>
        <v>3.529E-3</v>
      </c>
      <c r="AO159" s="99">
        <f t="shared" si="105"/>
        <v>0.97347400000000006</v>
      </c>
      <c r="AP159" s="99" t="e">
        <f t="shared" ca="1" si="85"/>
        <v>#N/A</v>
      </c>
      <c r="AQ159" s="161" t="e">
        <f t="shared" ca="1" si="106"/>
        <v>#N/A</v>
      </c>
      <c r="AR159" s="286" t="e">
        <f t="shared" ca="1" si="86"/>
        <v>#N/A</v>
      </c>
      <c r="AS159" s="285">
        <f t="shared" si="87"/>
        <v>1.4884853094401292E-3</v>
      </c>
      <c r="AT159" s="99">
        <f t="shared" si="88"/>
        <v>1.4890000000000001E-3</v>
      </c>
      <c r="AU159" s="99">
        <f t="shared" si="107"/>
        <v>0.98997700000000011</v>
      </c>
      <c r="AV159" s="99" t="e">
        <f t="shared" ca="1" si="89"/>
        <v>#N/A</v>
      </c>
      <c r="AW159" s="161" t="e">
        <f t="shared" ca="1" si="108"/>
        <v>#N/A</v>
      </c>
      <c r="AX159" s="286" t="e">
        <f t="shared" ca="1" si="90"/>
        <v>#N/A</v>
      </c>
    </row>
    <row r="160" spans="2:64" x14ac:dyDescent="0.25">
      <c r="B160" s="104">
        <f t="shared" si="94"/>
        <v>31</v>
      </c>
      <c r="C160" s="94">
        <v>32</v>
      </c>
      <c r="D160" s="94">
        <f t="shared" si="62"/>
        <v>7.9728482832450371E-4</v>
      </c>
      <c r="E160" s="94">
        <f t="shared" si="63"/>
        <v>7.9799999999999999E-4</v>
      </c>
      <c r="F160" s="94">
        <f t="shared" si="95"/>
        <v>0.99517000000000011</v>
      </c>
      <c r="G160" s="94" t="e">
        <f t="shared" ca="1" si="96"/>
        <v>#N/A</v>
      </c>
      <c r="H160" s="94" t="e">
        <f t="shared" ca="1" si="64"/>
        <v>#N/A</v>
      </c>
      <c r="I160" s="161" t="e">
        <f t="shared" ca="1" si="110"/>
        <v>#N/A</v>
      </c>
      <c r="J160" s="156" t="e">
        <f t="shared" ca="1" si="109"/>
        <v>#N/A</v>
      </c>
      <c r="K160" s="160" t="e">
        <f t="shared" ca="1" si="91"/>
        <v>#N/A</v>
      </c>
      <c r="L160" s="101" t="e">
        <f t="shared" ca="1" si="66"/>
        <v>#N/A</v>
      </c>
      <c r="M160" s="101" t="e">
        <f t="shared" ca="1" si="67"/>
        <v>#N/A</v>
      </c>
      <c r="N160" s="101" t="e">
        <f t="shared" ca="1" si="92"/>
        <v>#N/A</v>
      </c>
      <c r="O160" s="285">
        <f t="shared" si="68"/>
        <v>7.9728482832450371E-4</v>
      </c>
      <c r="P160" s="99">
        <f t="shared" si="69"/>
        <v>7.9799999999999999E-4</v>
      </c>
      <c r="Q160" s="99">
        <f t="shared" si="97"/>
        <v>0.99517000000000011</v>
      </c>
      <c r="R160" s="99" t="e">
        <f t="shared" ca="1" si="70"/>
        <v>#N/A</v>
      </c>
      <c r="S160" s="161" t="e">
        <f t="shared" ca="1" si="98"/>
        <v>#N/A</v>
      </c>
      <c r="T160" s="286" t="e">
        <f t="shared" ca="1" si="71"/>
        <v>#N/A</v>
      </c>
      <c r="U160" s="285">
        <f t="shared" si="72"/>
        <v>2.3096901577196631E-5</v>
      </c>
      <c r="V160" s="99">
        <f t="shared" si="73"/>
        <v>2.3E-5</v>
      </c>
      <c r="W160" s="99">
        <f t="shared" si="99"/>
        <v>0.99992000000000003</v>
      </c>
      <c r="X160" s="99" t="e">
        <f t="shared" ca="1" si="74"/>
        <v>#N/A</v>
      </c>
      <c r="Y160" s="161" t="e">
        <f t="shared" ca="1" si="100"/>
        <v>#N/A</v>
      </c>
      <c r="Z160" s="286" t="e">
        <f t="shared" ca="1" si="93"/>
        <v>#N/A</v>
      </c>
      <c r="AA160" s="285">
        <f t="shared" si="75"/>
        <v>5.7247566035583865E-3</v>
      </c>
      <c r="AB160" s="99">
        <f t="shared" si="76"/>
        <v>5.803E-3</v>
      </c>
      <c r="AC160" s="99">
        <f t="shared" si="101"/>
        <v>0.9368439999999999</v>
      </c>
      <c r="AD160" s="99" t="e">
        <f t="shared" ca="1" si="77"/>
        <v>#N/A</v>
      </c>
      <c r="AE160" s="161" t="e">
        <f t="shared" ca="1" si="102"/>
        <v>#N/A</v>
      </c>
      <c r="AF160" s="286" t="e">
        <f t="shared" ca="1" si="78"/>
        <v>#N/A</v>
      </c>
      <c r="AG160" s="285">
        <f t="shared" si="79"/>
        <v>2.7767952122955452E-3</v>
      </c>
      <c r="AH160" s="99">
        <f t="shared" si="80"/>
        <v>2.7810000000000001E-3</v>
      </c>
      <c r="AI160" s="99">
        <f t="shared" si="103"/>
        <v>0.97821599999999986</v>
      </c>
      <c r="AJ160" s="99" t="e">
        <f t="shared" ca="1" si="81"/>
        <v>#N/A</v>
      </c>
      <c r="AK160" s="161" t="e">
        <f t="shared" ca="1" si="104"/>
        <v>#N/A</v>
      </c>
      <c r="AL160" s="286" t="e">
        <f t="shared" ca="1" si="82"/>
        <v>#N/A</v>
      </c>
      <c r="AM160" s="285">
        <f t="shared" si="83"/>
        <v>3.0940668301999105E-3</v>
      </c>
      <c r="AN160" s="99">
        <f t="shared" si="84"/>
        <v>3.0990000000000002E-3</v>
      </c>
      <c r="AO160" s="99">
        <f t="shared" si="105"/>
        <v>0.97657300000000002</v>
      </c>
      <c r="AP160" s="99" t="e">
        <f t="shared" ca="1" si="85"/>
        <v>#N/A</v>
      </c>
      <c r="AQ160" s="161" t="e">
        <f t="shared" ca="1" si="106"/>
        <v>#N/A</v>
      </c>
      <c r="AR160" s="286" t="e">
        <f t="shared" ca="1" si="86"/>
        <v>#N/A</v>
      </c>
      <c r="AS160" s="285">
        <f t="shared" si="87"/>
        <v>1.2849505119892652E-3</v>
      </c>
      <c r="AT160" s="99">
        <f t="shared" si="88"/>
        <v>1.286E-3</v>
      </c>
      <c r="AU160" s="99">
        <f t="shared" si="107"/>
        <v>0.99126300000000012</v>
      </c>
      <c r="AV160" s="99" t="e">
        <f t="shared" ca="1" si="89"/>
        <v>#N/A</v>
      </c>
      <c r="AW160" s="161" t="e">
        <f t="shared" ca="1" si="108"/>
        <v>#N/A</v>
      </c>
      <c r="AX160" s="286" t="e">
        <f t="shared" ca="1" si="90"/>
        <v>#N/A</v>
      </c>
    </row>
    <row r="161" spans="2:50" x14ac:dyDescent="0.25">
      <c r="B161" s="104">
        <f t="shared" si="94"/>
        <v>32</v>
      </c>
      <c r="C161" s="94">
        <v>33</v>
      </c>
      <c r="D161" s="94">
        <f t="shared" si="62"/>
        <v>6.7807493767746115E-4</v>
      </c>
      <c r="E161" s="94">
        <f t="shared" ref="E161:E188" si="111">ROUND(D161/$D$260,6)</f>
        <v>6.78E-4</v>
      </c>
      <c r="F161" s="94">
        <f t="shared" si="95"/>
        <v>0.99584800000000007</v>
      </c>
      <c r="G161" s="94" t="e">
        <f t="shared" ca="1" si="96"/>
        <v>#N/A</v>
      </c>
      <c r="H161" s="94" t="e">
        <f t="shared" ref="H161:H188" ca="1" si="112">LOOKUP(B161,$C$405:$C$601,(OFFSET($C$405:$C$601,0,2)))</f>
        <v>#N/A</v>
      </c>
      <c r="I161" s="161" t="e">
        <f t="shared" ca="1" si="110"/>
        <v>#N/A</v>
      </c>
      <c r="J161" s="156" t="e">
        <f t="shared" ca="1" si="109"/>
        <v>#N/A</v>
      </c>
      <c r="K161" s="160" t="e">
        <f t="shared" ca="1" si="91"/>
        <v>#N/A</v>
      </c>
      <c r="L161" s="101" t="e">
        <f t="shared" ca="1" si="66"/>
        <v>#N/A</v>
      </c>
      <c r="M161" s="101" t="e">
        <f t="shared" ca="1" si="67"/>
        <v>#N/A</v>
      </c>
      <c r="N161" s="101" t="e">
        <f t="shared" ca="1" si="92"/>
        <v>#N/A</v>
      </c>
      <c r="O161" s="285">
        <f t="shared" ref="O161:O188" si="113">_xlfn.LOGNORM.DIST($C161, O$52, O$53, FALSE)</f>
        <v>6.7807493767746115E-4</v>
      </c>
      <c r="P161" s="99">
        <f t="shared" ref="P161:P188" si="114">ROUND(O161/O$260,6)</f>
        <v>6.78E-4</v>
      </c>
      <c r="Q161" s="99">
        <f t="shared" si="97"/>
        <v>0.99584800000000007</v>
      </c>
      <c r="R161" s="99" t="e">
        <f t="shared" ref="R161:R188" ca="1" si="115">ROUND(P161*$F$193,0)</f>
        <v>#N/A</v>
      </c>
      <c r="S161" s="161" t="e">
        <f t="shared" ca="1" si="98"/>
        <v>#N/A</v>
      </c>
      <c r="T161" s="286" t="e">
        <f t="shared" ca="1" si="71"/>
        <v>#N/A</v>
      </c>
      <c r="U161" s="285">
        <f t="shared" ref="U161:U188" si="116">_xlfn.LOGNORM.DIST($C161, U$52, U$53, FALSE)</f>
        <v>1.7713611545843758E-5</v>
      </c>
      <c r="V161" s="99">
        <f t="shared" ref="V161:V188" si="117">IF(ROUND(U161/U$260,6)&lt;0.000001,0.000001,ROUND(U161/U$260,6))</f>
        <v>1.8E-5</v>
      </c>
      <c r="W161" s="99">
        <f t="shared" si="99"/>
        <v>0.99993799999999999</v>
      </c>
      <c r="X161" s="99" t="e">
        <f t="shared" ref="X161:X188" ca="1" si="118">ROUND(V161*$F$194,0)</f>
        <v>#N/A</v>
      </c>
      <c r="Y161" s="161" t="e">
        <f t="shared" ca="1" si="100"/>
        <v>#N/A</v>
      </c>
      <c r="Z161" s="286" t="e">
        <f t="shared" ca="1" si="93"/>
        <v>#N/A</v>
      </c>
      <c r="AA161" s="285">
        <f t="shared" ref="AA161:AA188" si="119">_xlfn.LOGNORM.DIST($C161, AA$52, AA$53, FALSE)</f>
        <v>5.2543699443135632E-3</v>
      </c>
      <c r="AB161" s="99">
        <f t="shared" ref="AB161:AB188" si="120">IF(ROUND(AA161/AA$260,6)&lt;0.000001,0.000001,ROUND(AA161/AA$260,6))</f>
        <v>5.326E-3</v>
      </c>
      <c r="AC161" s="99">
        <f t="shared" si="101"/>
        <v>0.94216999999999995</v>
      </c>
      <c r="AD161" s="99" t="e">
        <f t="shared" ref="AD161:AD188" ca="1" si="121">ROUND(AB161*$F$195,0)</f>
        <v>#N/A</v>
      </c>
      <c r="AE161" s="161" t="e">
        <f t="shared" ca="1" si="102"/>
        <v>#N/A</v>
      </c>
      <c r="AF161" s="286" t="e">
        <f t="shared" ca="1" si="78"/>
        <v>#N/A</v>
      </c>
      <c r="AG161" s="285">
        <f t="shared" ref="AG161:AG188" si="122">_xlfn.LOGNORM.DIST($C161, AG$52, AG$53, FALSE)</f>
        <v>2.4514978593229062E-3</v>
      </c>
      <c r="AH161" s="99">
        <f t="shared" ref="AH161:AH188" si="123">ROUND(AG161/AG$260,6)</f>
        <v>2.4559999999999998E-3</v>
      </c>
      <c r="AI161" s="99">
        <f t="shared" si="103"/>
        <v>0.98067199999999988</v>
      </c>
      <c r="AJ161" s="99" t="e">
        <f t="shared" ref="AJ161:AJ188" ca="1" si="124">ROUND(AH161*$G$193,0)</f>
        <v>#N/A</v>
      </c>
      <c r="AK161" s="161" t="e">
        <f t="shared" ca="1" si="104"/>
        <v>#N/A</v>
      </c>
      <c r="AL161" s="286" t="e">
        <f t="shared" ca="1" si="82"/>
        <v>#N/A</v>
      </c>
      <c r="AM161" s="285">
        <f t="shared" ref="AM161:AM188" si="125">_xlfn.LOGNORM.DIST($C161, AM$52, AM$53, FALSE)</f>
        <v>2.7211543750609306E-3</v>
      </c>
      <c r="AN161" s="99">
        <f t="shared" ref="AN161:AN188" si="126">IF(ROUND(AM161/AM$260,6)&lt;0.000001,0.000001,ROUND(AM161/AM$260,6))</f>
        <v>2.725E-3</v>
      </c>
      <c r="AO161" s="99">
        <f t="shared" si="105"/>
        <v>0.979298</v>
      </c>
      <c r="AP161" s="99" t="e">
        <f t="shared" ref="AP161:AP188" ca="1" si="127">ROUND(AN161*$G$195,0)</f>
        <v>#N/A</v>
      </c>
      <c r="AQ161" s="161" t="e">
        <f t="shared" ca="1" si="106"/>
        <v>#N/A</v>
      </c>
      <c r="AR161" s="286" t="e">
        <f t="shared" ca="1" si="86"/>
        <v>#N/A</v>
      </c>
      <c r="AS161" s="285">
        <f t="shared" ref="AS161:AS188" si="128">_xlfn.LOGNORM.DIST($C161, AS$52, AS$53, FALSE)</f>
        <v>1.1116309784492268E-3</v>
      </c>
      <c r="AT161" s="99">
        <f t="shared" ref="AT161:AT188" si="129">IF(ROUND(AS161/AS$260,6)&lt;0.000001,0.000001,ROUND(AS161/AS$260,6))</f>
        <v>1.1119999999999999E-3</v>
      </c>
      <c r="AU161" s="99">
        <f t="shared" si="107"/>
        <v>0.99237500000000012</v>
      </c>
      <c r="AV161" s="99" t="e">
        <f t="shared" ref="AV161:AV188" ca="1" si="130">ROUND(AT161*$F$194,0)</f>
        <v>#N/A</v>
      </c>
      <c r="AW161" s="161" t="e">
        <f t="shared" ca="1" si="108"/>
        <v>#N/A</v>
      </c>
      <c r="AX161" s="286" t="e">
        <f t="shared" ca="1" si="90"/>
        <v>#N/A</v>
      </c>
    </row>
    <row r="162" spans="2:50" x14ac:dyDescent="0.25">
      <c r="B162" s="104">
        <f t="shared" si="94"/>
        <v>33</v>
      </c>
      <c r="C162" s="94">
        <v>34</v>
      </c>
      <c r="D162" s="94">
        <f t="shared" si="62"/>
        <v>5.7805033029371478E-4</v>
      </c>
      <c r="E162" s="94">
        <f t="shared" si="111"/>
        <v>5.7799999999999995E-4</v>
      </c>
      <c r="F162" s="94">
        <f t="shared" si="95"/>
        <v>0.99642600000000003</v>
      </c>
      <c r="G162" s="94" t="e">
        <f t="shared" ca="1" si="96"/>
        <v>#N/A</v>
      </c>
      <c r="H162" s="94" t="e">
        <f t="shared" ca="1" si="112"/>
        <v>#N/A</v>
      </c>
      <c r="I162" s="161" t="e">
        <f t="shared" ca="1" si="110"/>
        <v>#N/A</v>
      </c>
      <c r="J162" s="156" t="e">
        <f t="shared" ca="1" si="109"/>
        <v>#N/A</v>
      </c>
      <c r="K162" s="160" t="e">
        <f t="shared" ca="1" si="91"/>
        <v>#N/A</v>
      </c>
      <c r="L162" s="101" t="e">
        <f t="shared" ca="1" si="66"/>
        <v>#N/A</v>
      </c>
      <c r="M162" s="101" t="e">
        <f t="shared" ca="1" si="67"/>
        <v>#N/A</v>
      </c>
      <c r="N162" s="101" t="e">
        <f t="shared" ca="1" si="92"/>
        <v>#N/A</v>
      </c>
      <c r="O162" s="285">
        <f t="shared" si="113"/>
        <v>5.7805033029371478E-4</v>
      </c>
      <c r="P162" s="99">
        <f t="shared" si="114"/>
        <v>5.7799999999999995E-4</v>
      </c>
      <c r="Q162" s="99">
        <f t="shared" si="97"/>
        <v>0.99642600000000003</v>
      </c>
      <c r="R162" s="99" t="e">
        <f t="shared" ca="1" si="115"/>
        <v>#N/A</v>
      </c>
      <c r="S162" s="161" t="e">
        <f t="shared" ca="1" si="98"/>
        <v>#N/A</v>
      </c>
      <c r="T162" s="286" t="e">
        <f t="shared" ca="1" si="71"/>
        <v>#N/A</v>
      </c>
      <c r="U162" s="285">
        <f t="shared" si="116"/>
        <v>1.3642543385587615E-5</v>
      </c>
      <c r="V162" s="99">
        <f t="shared" si="117"/>
        <v>1.4E-5</v>
      </c>
      <c r="W162" s="99">
        <f t="shared" si="99"/>
        <v>0.99995199999999995</v>
      </c>
      <c r="X162" s="99" t="e">
        <f t="shared" ca="1" si="118"/>
        <v>#N/A</v>
      </c>
      <c r="Y162" s="161" t="e">
        <f t="shared" ca="1" si="100"/>
        <v>#N/A</v>
      </c>
      <c r="Z162" s="286" t="e">
        <f t="shared" ca="1" si="93"/>
        <v>#N/A</v>
      </c>
      <c r="AA162" s="285">
        <f t="shared" si="119"/>
        <v>4.8281968639874127E-3</v>
      </c>
      <c r="AB162" s="99">
        <f t="shared" si="120"/>
        <v>4.8939999999999999E-3</v>
      </c>
      <c r="AC162" s="99">
        <f t="shared" si="101"/>
        <v>0.94706399999999991</v>
      </c>
      <c r="AD162" s="99" t="e">
        <f t="shared" ca="1" si="121"/>
        <v>#N/A</v>
      </c>
      <c r="AE162" s="161" t="e">
        <f t="shared" ca="1" si="102"/>
        <v>#N/A</v>
      </c>
      <c r="AF162" s="286" t="e">
        <f t="shared" ca="1" si="78"/>
        <v>#N/A</v>
      </c>
      <c r="AG162" s="285">
        <f t="shared" si="122"/>
        <v>2.1677552468702234E-3</v>
      </c>
      <c r="AH162" s="99">
        <f t="shared" si="123"/>
        <v>2.1710000000000002E-3</v>
      </c>
      <c r="AI162" s="99">
        <f t="shared" si="103"/>
        <v>0.98284299999999991</v>
      </c>
      <c r="AJ162" s="99" t="e">
        <f t="shared" ca="1" si="124"/>
        <v>#N/A</v>
      </c>
      <c r="AK162" s="161" t="e">
        <f t="shared" ca="1" si="104"/>
        <v>#N/A</v>
      </c>
      <c r="AL162" s="286" t="e">
        <f t="shared" ca="1" si="82"/>
        <v>#N/A</v>
      </c>
      <c r="AM162" s="285">
        <f t="shared" si="125"/>
        <v>2.3966956985784667E-3</v>
      </c>
      <c r="AN162" s="99">
        <f t="shared" si="126"/>
        <v>2.3999999999999998E-3</v>
      </c>
      <c r="AO162" s="99">
        <f t="shared" si="105"/>
        <v>0.98169799999999996</v>
      </c>
      <c r="AP162" s="99" t="e">
        <f t="shared" ca="1" si="127"/>
        <v>#N/A</v>
      </c>
      <c r="AQ162" s="161" t="e">
        <f t="shared" ca="1" si="106"/>
        <v>#N/A</v>
      </c>
      <c r="AR162" s="286" t="e">
        <f t="shared" ca="1" si="86"/>
        <v>#N/A</v>
      </c>
      <c r="AS162" s="285">
        <f t="shared" si="128"/>
        <v>9.6370024397258362E-4</v>
      </c>
      <c r="AT162" s="99">
        <f t="shared" si="129"/>
        <v>9.6400000000000001E-4</v>
      </c>
      <c r="AU162" s="99">
        <f t="shared" si="107"/>
        <v>0.99333900000000008</v>
      </c>
      <c r="AV162" s="99" t="e">
        <f t="shared" ca="1" si="130"/>
        <v>#N/A</v>
      </c>
      <c r="AW162" s="161" t="e">
        <f t="shared" ca="1" si="108"/>
        <v>#N/A</v>
      </c>
      <c r="AX162" s="286" t="e">
        <f t="shared" ca="1" si="90"/>
        <v>#N/A</v>
      </c>
    </row>
    <row r="163" spans="2:50" x14ac:dyDescent="0.25">
      <c r="B163" s="104">
        <f t="shared" si="94"/>
        <v>34</v>
      </c>
      <c r="C163" s="94">
        <v>35</v>
      </c>
      <c r="D163" s="94">
        <f t="shared" si="62"/>
        <v>4.9391107854956278E-4</v>
      </c>
      <c r="E163" s="94">
        <f t="shared" si="111"/>
        <v>4.9399999999999997E-4</v>
      </c>
      <c r="F163" s="94">
        <f t="shared" si="95"/>
        <v>0.99692000000000003</v>
      </c>
      <c r="G163" s="94" t="e">
        <f t="shared" ca="1" si="96"/>
        <v>#N/A</v>
      </c>
      <c r="H163" s="94" t="e">
        <f t="shared" ca="1" si="112"/>
        <v>#N/A</v>
      </c>
      <c r="I163" s="161" t="e">
        <f t="shared" ca="1" si="110"/>
        <v>#N/A</v>
      </c>
      <c r="J163" s="156" t="e">
        <f t="shared" ca="1" si="109"/>
        <v>#N/A</v>
      </c>
      <c r="K163" s="160" t="e">
        <f t="shared" ca="1" si="91"/>
        <v>#N/A</v>
      </c>
      <c r="L163" s="101" t="e">
        <f t="shared" ca="1" si="66"/>
        <v>#N/A</v>
      </c>
      <c r="M163" s="101" t="e">
        <f t="shared" ca="1" si="67"/>
        <v>#N/A</v>
      </c>
      <c r="N163" s="101" t="e">
        <f t="shared" ca="1" si="92"/>
        <v>#N/A</v>
      </c>
      <c r="O163" s="285">
        <f t="shared" si="113"/>
        <v>4.9391107854956278E-4</v>
      </c>
      <c r="P163" s="99">
        <f t="shared" si="114"/>
        <v>4.9399999999999997E-4</v>
      </c>
      <c r="Q163" s="99">
        <f t="shared" si="97"/>
        <v>0.99692000000000003</v>
      </c>
      <c r="R163" s="99" t="e">
        <f t="shared" ca="1" si="115"/>
        <v>#N/A</v>
      </c>
      <c r="S163" s="161" t="e">
        <f t="shared" ca="1" si="98"/>
        <v>#N/A</v>
      </c>
      <c r="T163" s="286" t="e">
        <f t="shared" ca="1" si="71"/>
        <v>#N/A</v>
      </c>
      <c r="U163" s="285">
        <f t="shared" si="116"/>
        <v>1.0550132093134681E-5</v>
      </c>
      <c r="V163" s="99">
        <f t="shared" si="117"/>
        <v>1.1E-5</v>
      </c>
      <c r="W163" s="99">
        <f t="shared" si="99"/>
        <v>0.99996299999999994</v>
      </c>
      <c r="X163" s="99" t="e">
        <f t="shared" ca="1" si="118"/>
        <v>#N/A</v>
      </c>
      <c r="Y163" s="161" t="e">
        <f t="shared" ca="1" si="100"/>
        <v>#N/A</v>
      </c>
      <c r="Z163" s="286" t="e">
        <f t="shared" ca="1" si="93"/>
        <v>#N/A</v>
      </c>
      <c r="AA163" s="285">
        <f t="shared" si="119"/>
        <v>4.4415895189704024E-3</v>
      </c>
      <c r="AB163" s="99">
        <f t="shared" si="120"/>
        <v>4.5019999999999999E-3</v>
      </c>
      <c r="AC163" s="99">
        <f t="shared" si="101"/>
        <v>0.95156599999999991</v>
      </c>
      <c r="AD163" s="99" t="e">
        <f t="shared" ca="1" si="121"/>
        <v>#N/A</v>
      </c>
      <c r="AE163" s="161" t="e">
        <f t="shared" ca="1" si="102"/>
        <v>#N/A</v>
      </c>
      <c r="AF163" s="286" t="e">
        <f t="shared" ca="1" si="78"/>
        <v>#N/A</v>
      </c>
      <c r="AG163" s="285">
        <f t="shared" si="122"/>
        <v>1.9198459348662605E-3</v>
      </c>
      <c r="AH163" s="99">
        <f t="shared" si="123"/>
        <v>1.923E-3</v>
      </c>
      <c r="AI163" s="99">
        <f t="shared" si="103"/>
        <v>0.98476599999999992</v>
      </c>
      <c r="AJ163" s="99" t="e">
        <f t="shared" ca="1" si="124"/>
        <v>#N/A</v>
      </c>
      <c r="AK163" s="161" t="e">
        <f t="shared" ca="1" si="104"/>
        <v>#N/A</v>
      </c>
      <c r="AL163" s="286" t="e">
        <f t="shared" ca="1" si="82"/>
        <v>#N/A</v>
      </c>
      <c r="AM163" s="285">
        <f t="shared" si="125"/>
        <v>2.1139823004712763E-3</v>
      </c>
      <c r="AN163" s="99">
        <f t="shared" si="126"/>
        <v>2.117E-3</v>
      </c>
      <c r="AO163" s="99">
        <f t="shared" si="105"/>
        <v>0.983815</v>
      </c>
      <c r="AP163" s="99" t="e">
        <f t="shared" ca="1" si="127"/>
        <v>#N/A</v>
      </c>
      <c r="AQ163" s="161" t="e">
        <f t="shared" ca="1" si="106"/>
        <v>#N/A</v>
      </c>
      <c r="AR163" s="286" t="e">
        <f t="shared" ca="1" si="86"/>
        <v>#N/A</v>
      </c>
      <c r="AS163" s="285">
        <f t="shared" si="128"/>
        <v>8.3715437020774901E-4</v>
      </c>
      <c r="AT163" s="99">
        <f t="shared" si="129"/>
        <v>8.3799999999999999E-4</v>
      </c>
      <c r="AU163" s="99">
        <f t="shared" si="107"/>
        <v>0.99417700000000009</v>
      </c>
      <c r="AV163" s="99" t="e">
        <f t="shared" ca="1" si="130"/>
        <v>#N/A</v>
      </c>
      <c r="AW163" s="161" t="e">
        <f t="shared" ca="1" si="108"/>
        <v>#N/A</v>
      </c>
      <c r="AX163" s="286" t="e">
        <f t="shared" ca="1" si="90"/>
        <v>#N/A</v>
      </c>
    </row>
    <row r="164" spans="2:50" x14ac:dyDescent="0.25">
      <c r="B164" s="104">
        <f t="shared" si="94"/>
        <v>35</v>
      </c>
      <c r="C164" s="94">
        <v>36</v>
      </c>
      <c r="D164" s="94">
        <f t="shared" si="62"/>
        <v>4.2295983677622669E-4</v>
      </c>
      <c r="E164" s="94">
        <f t="shared" si="111"/>
        <v>4.2299999999999998E-4</v>
      </c>
      <c r="F164" s="94">
        <f t="shared" si="95"/>
        <v>0.99734299999999998</v>
      </c>
      <c r="G164" s="94" t="e">
        <f t="shared" ca="1" si="96"/>
        <v>#N/A</v>
      </c>
      <c r="H164" s="94" t="e">
        <f t="shared" ca="1" si="112"/>
        <v>#N/A</v>
      </c>
      <c r="I164" s="161" t="e">
        <f t="shared" ca="1" si="110"/>
        <v>#N/A</v>
      </c>
      <c r="J164" s="156" t="e">
        <f t="shared" ca="1" si="109"/>
        <v>#N/A</v>
      </c>
      <c r="K164" s="160" t="e">
        <f t="shared" ca="1" si="91"/>
        <v>#N/A</v>
      </c>
      <c r="L164" s="101" t="e">
        <f t="shared" ca="1" si="66"/>
        <v>#N/A</v>
      </c>
      <c r="M164" s="101" t="e">
        <f t="shared" ca="1" si="67"/>
        <v>#N/A</v>
      </c>
      <c r="N164" s="101" t="e">
        <f t="shared" ca="1" si="92"/>
        <v>#N/A</v>
      </c>
      <c r="O164" s="285">
        <f t="shared" si="113"/>
        <v>4.2295983677622669E-4</v>
      </c>
      <c r="P164" s="99">
        <f t="shared" si="114"/>
        <v>4.2299999999999998E-4</v>
      </c>
      <c r="Q164" s="99">
        <f t="shared" si="97"/>
        <v>0.99734299999999998</v>
      </c>
      <c r="R164" s="99" t="e">
        <f t="shared" ca="1" si="115"/>
        <v>#N/A</v>
      </c>
      <c r="S164" s="161" t="e">
        <f t="shared" ca="1" si="98"/>
        <v>#N/A</v>
      </c>
      <c r="T164" s="286" t="e">
        <f t="shared" ca="1" si="71"/>
        <v>#N/A</v>
      </c>
      <c r="U164" s="285">
        <f t="shared" si="116"/>
        <v>8.1909982879852588E-6</v>
      </c>
      <c r="V164" s="99">
        <f t="shared" si="117"/>
        <v>7.9999999999999996E-6</v>
      </c>
      <c r="W164" s="99">
        <f t="shared" si="99"/>
        <v>0.99997099999999994</v>
      </c>
      <c r="X164" s="99" t="e">
        <f t="shared" ca="1" si="118"/>
        <v>#N/A</v>
      </c>
      <c r="Y164" s="161" t="e">
        <f t="shared" ca="1" si="100"/>
        <v>#N/A</v>
      </c>
      <c r="Z164" s="286" t="e">
        <f t="shared" ca="1" si="93"/>
        <v>#N/A</v>
      </c>
      <c r="AA164" s="285">
        <f t="shared" si="119"/>
        <v>4.090434380257405E-3</v>
      </c>
      <c r="AB164" s="99">
        <f t="shared" si="120"/>
        <v>4.1460000000000004E-3</v>
      </c>
      <c r="AC164" s="99">
        <f t="shared" si="101"/>
        <v>0.95571199999999989</v>
      </c>
      <c r="AD164" s="99" t="e">
        <f t="shared" ca="1" si="121"/>
        <v>#N/A</v>
      </c>
      <c r="AE164" s="161" t="e">
        <f t="shared" ca="1" si="102"/>
        <v>#N/A</v>
      </c>
      <c r="AF164" s="286" t="e">
        <f t="shared" ca="1" si="78"/>
        <v>#N/A</v>
      </c>
      <c r="AG164" s="285">
        <f t="shared" si="122"/>
        <v>1.7028874546893668E-3</v>
      </c>
      <c r="AH164" s="99">
        <f t="shared" si="123"/>
        <v>1.7060000000000001E-3</v>
      </c>
      <c r="AI164" s="99">
        <f t="shared" si="103"/>
        <v>0.9864719999999999</v>
      </c>
      <c r="AJ164" s="99" t="e">
        <f t="shared" ca="1" si="124"/>
        <v>#N/A</v>
      </c>
      <c r="AK164" s="161" t="e">
        <f t="shared" ca="1" si="104"/>
        <v>#N/A</v>
      </c>
      <c r="AL164" s="286" t="e">
        <f t="shared" ca="1" si="82"/>
        <v>#N/A</v>
      </c>
      <c r="AM164" s="285">
        <f t="shared" si="125"/>
        <v>1.8672825590450083E-3</v>
      </c>
      <c r="AN164" s="99">
        <f t="shared" si="126"/>
        <v>1.8699999999999999E-3</v>
      </c>
      <c r="AO164" s="99">
        <f t="shared" si="105"/>
        <v>0.98568500000000003</v>
      </c>
      <c r="AP164" s="99" t="e">
        <f t="shared" ca="1" si="127"/>
        <v>#N/A</v>
      </c>
      <c r="AQ164" s="161" t="e">
        <f t="shared" ca="1" si="106"/>
        <v>#N/A</v>
      </c>
      <c r="AR164" s="286" t="e">
        <f t="shared" ca="1" si="86"/>
        <v>#N/A</v>
      </c>
      <c r="AS164" s="285">
        <f t="shared" si="128"/>
        <v>7.2866364282193018E-4</v>
      </c>
      <c r="AT164" s="99">
        <f t="shared" si="129"/>
        <v>7.2900000000000005E-4</v>
      </c>
      <c r="AU164" s="99">
        <f t="shared" si="107"/>
        <v>0.99490600000000007</v>
      </c>
      <c r="AV164" s="99" t="e">
        <f t="shared" ca="1" si="130"/>
        <v>#N/A</v>
      </c>
      <c r="AW164" s="161" t="e">
        <f t="shared" ca="1" si="108"/>
        <v>#N/A</v>
      </c>
      <c r="AX164" s="286" t="e">
        <f t="shared" ca="1" si="90"/>
        <v>#N/A</v>
      </c>
    </row>
    <row r="165" spans="2:50" x14ac:dyDescent="0.25">
      <c r="B165" s="104">
        <f t="shared" si="94"/>
        <v>36</v>
      </c>
      <c r="C165" s="94">
        <v>37</v>
      </c>
      <c r="D165" s="94">
        <f t="shared" si="62"/>
        <v>3.6298577568375672E-4</v>
      </c>
      <c r="E165" s="94">
        <f t="shared" si="111"/>
        <v>3.6299999999999999E-4</v>
      </c>
      <c r="F165" s="94">
        <f t="shared" si="95"/>
        <v>0.99770599999999998</v>
      </c>
      <c r="G165" s="94" t="e">
        <f t="shared" ca="1" si="96"/>
        <v>#N/A</v>
      </c>
      <c r="H165" s="94" t="e">
        <f t="shared" ca="1" si="112"/>
        <v>#N/A</v>
      </c>
      <c r="I165" s="161" t="e">
        <f t="shared" ca="1" si="110"/>
        <v>#N/A</v>
      </c>
      <c r="J165" s="156" t="e">
        <f t="shared" ca="1" si="109"/>
        <v>#N/A</v>
      </c>
      <c r="K165" s="160" t="e">
        <f t="shared" ca="1" si="91"/>
        <v>#N/A</v>
      </c>
      <c r="L165" s="101" t="e">
        <f t="shared" ca="1" si="66"/>
        <v>#N/A</v>
      </c>
      <c r="M165" s="101" t="e">
        <f t="shared" ca="1" si="67"/>
        <v>#N/A</v>
      </c>
      <c r="N165" s="101" t="e">
        <f t="shared" ca="1" si="92"/>
        <v>#N/A</v>
      </c>
      <c r="O165" s="285">
        <f t="shared" si="113"/>
        <v>3.6298577568375672E-4</v>
      </c>
      <c r="P165" s="99">
        <f t="shared" si="114"/>
        <v>3.6299999999999999E-4</v>
      </c>
      <c r="Q165" s="99">
        <f t="shared" si="97"/>
        <v>0.99770599999999998</v>
      </c>
      <c r="R165" s="99" t="e">
        <f t="shared" ca="1" si="115"/>
        <v>#N/A</v>
      </c>
      <c r="S165" s="161" t="e">
        <f t="shared" ca="1" si="98"/>
        <v>#N/A</v>
      </c>
      <c r="T165" s="286" t="e">
        <f t="shared" ca="1" si="71"/>
        <v>#N/A</v>
      </c>
      <c r="U165" s="285">
        <f t="shared" si="116"/>
        <v>6.3837622729134405E-6</v>
      </c>
      <c r="V165" s="99">
        <f t="shared" si="117"/>
        <v>6.0000000000000002E-6</v>
      </c>
      <c r="W165" s="99">
        <f t="shared" si="99"/>
        <v>0.99997699999999989</v>
      </c>
      <c r="X165" s="99" t="e">
        <f t="shared" ca="1" si="118"/>
        <v>#N/A</v>
      </c>
      <c r="Y165" s="161" t="e">
        <f t="shared" ca="1" si="100"/>
        <v>#N/A</v>
      </c>
      <c r="Z165" s="286" t="e">
        <f t="shared" ca="1" si="93"/>
        <v>#N/A</v>
      </c>
      <c r="AA165" s="285">
        <f t="shared" si="119"/>
        <v>3.7710867249563132E-3</v>
      </c>
      <c r="AB165" s="99">
        <f t="shared" si="120"/>
        <v>3.823E-3</v>
      </c>
      <c r="AC165" s="99">
        <f t="shared" si="101"/>
        <v>0.95953499999999992</v>
      </c>
      <c r="AD165" s="99" t="e">
        <f t="shared" ca="1" si="121"/>
        <v>#N/A</v>
      </c>
      <c r="AE165" s="161" t="e">
        <f t="shared" ca="1" si="102"/>
        <v>#N/A</v>
      </c>
      <c r="AF165" s="286" t="e">
        <f t="shared" ca="1" si="78"/>
        <v>#N/A</v>
      </c>
      <c r="AG165" s="285">
        <f t="shared" si="122"/>
        <v>1.5127070079854355E-3</v>
      </c>
      <c r="AH165" s="99">
        <f t="shared" si="123"/>
        <v>1.5150000000000001E-3</v>
      </c>
      <c r="AI165" s="99">
        <f t="shared" si="103"/>
        <v>0.98798699999999995</v>
      </c>
      <c r="AJ165" s="99" t="e">
        <f t="shared" ca="1" si="124"/>
        <v>#N/A</v>
      </c>
      <c r="AK165" s="161" t="e">
        <f t="shared" ca="1" si="104"/>
        <v>#N/A</v>
      </c>
      <c r="AL165" s="286" t="e">
        <f t="shared" ca="1" si="82"/>
        <v>#N/A</v>
      </c>
      <c r="AM165" s="285">
        <f t="shared" si="125"/>
        <v>1.6516945249004115E-3</v>
      </c>
      <c r="AN165" s="99">
        <f t="shared" si="126"/>
        <v>1.6540000000000001E-3</v>
      </c>
      <c r="AO165" s="99">
        <f t="shared" si="105"/>
        <v>0.98733900000000008</v>
      </c>
      <c r="AP165" s="99" t="e">
        <f t="shared" ca="1" si="127"/>
        <v>#N/A</v>
      </c>
      <c r="AQ165" s="161" t="e">
        <f t="shared" ca="1" si="106"/>
        <v>#N/A</v>
      </c>
      <c r="AR165" s="286" t="e">
        <f t="shared" ca="1" si="86"/>
        <v>#N/A</v>
      </c>
      <c r="AS165" s="285">
        <f t="shared" si="128"/>
        <v>6.3545231466214649E-4</v>
      </c>
      <c r="AT165" s="99">
        <f t="shared" si="129"/>
        <v>6.3599999999999996E-4</v>
      </c>
      <c r="AU165" s="99">
        <f t="shared" si="107"/>
        <v>0.99554200000000004</v>
      </c>
      <c r="AV165" s="99" t="e">
        <f t="shared" ca="1" si="130"/>
        <v>#N/A</v>
      </c>
      <c r="AW165" s="161" t="e">
        <f t="shared" ca="1" si="108"/>
        <v>#N/A</v>
      </c>
      <c r="AX165" s="286" t="e">
        <f t="shared" ca="1" si="90"/>
        <v>#N/A</v>
      </c>
    </row>
    <row r="166" spans="2:50" x14ac:dyDescent="0.25">
      <c r="B166" s="104">
        <f t="shared" si="94"/>
        <v>37</v>
      </c>
      <c r="C166" s="94">
        <v>38</v>
      </c>
      <c r="D166" s="94">
        <f t="shared" si="62"/>
        <v>3.1217194752108175E-4</v>
      </c>
      <c r="E166" s="94">
        <f t="shared" si="111"/>
        <v>3.1199999999999999E-4</v>
      </c>
      <c r="F166" s="94">
        <f t="shared" si="95"/>
        <v>0.99801799999999996</v>
      </c>
      <c r="G166" s="94" t="e">
        <f t="shared" ca="1" si="96"/>
        <v>#N/A</v>
      </c>
      <c r="H166" s="94" t="e">
        <f t="shared" ca="1" si="112"/>
        <v>#N/A</v>
      </c>
      <c r="I166" s="161" t="e">
        <f t="shared" ca="1" si="110"/>
        <v>#N/A</v>
      </c>
      <c r="J166" s="156" t="e">
        <f t="shared" ca="1" si="109"/>
        <v>#N/A</v>
      </c>
      <c r="K166" s="160" t="e">
        <f t="shared" ca="1" si="91"/>
        <v>#N/A</v>
      </c>
      <c r="L166" s="101" t="e">
        <f t="shared" ca="1" si="66"/>
        <v>#N/A</v>
      </c>
      <c r="M166" s="101" t="e">
        <f t="shared" ca="1" si="67"/>
        <v>#N/A</v>
      </c>
      <c r="N166" s="101" t="e">
        <f t="shared" ca="1" si="92"/>
        <v>#N/A</v>
      </c>
      <c r="O166" s="285">
        <f t="shared" si="113"/>
        <v>3.1217194752108175E-4</v>
      </c>
      <c r="P166" s="99">
        <f t="shared" si="114"/>
        <v>3.1199999999999999E-4</v>
      </c>
      <c r="Q166" s="99">
        <f t="shared" si="97"/>
        <v>0.99801799999999996</v>
      </c>
      <c r="R166" s="99" t="e">
        <f t="shared" ca="1" si="115"/>
        <v>#N/A</v>
      </c>
      <c r="S166" s="161" t="e">
        <f t="shared" ca="1" si="98"/>
        <v>#N/A</v>
      </c>
      <c r="T166" s="286" t="e">
        <f t="shared" ca="1" si="71"/>
        <v>#N/A</v>
      </c>
      <c r="U166" s="285">
        <f t="shared" si="116"/>
        <v>4.9937231582250868E-6</v>
      </c>
      <c r="V166" s="99">
        <f t="shared" si="117"/>
        <v>5.0000000000000004E-6</v>
      </c>
      <c r="W166" s="99">
        <f t="shared" si="99"/>
        <v>0.99998199999999993</v>
      </c>
      <c r="X166" s="99" t="e">
        <f t="shared" ca="1" si="118"/>
        <v>#N/A</v>
      </c>
      <c r="Y166" s="161" t="e">
        <f t="shared" ca="1" si="100"/>
        <v>#N/A</v>
      </c>
      <c r="Z166" s="286" t="e">
        <f t="shared" ca="1" si="93"/>
        <v>#N/A</v>
      </c>
      <c r="AA166" s="285">
        <f t="shared" si="119"/>
        <v>3.4803134085516318E-3</v>
      </c>
      <c r="AB166" s="99">
        <f t="shared" si="120"/>
        <v>3.5279999999999999E-3</v>
      </c>
      <c r="AC166" s="99">
        <f t="shared" si="101"/>
        <v>0.96306299999999989</v>
      </c>
      <c r="AD166" s="99" t="e">
        <f t="shared" ca="1" si="121"/>
        <v>#N/A</v>
      </c>
      <c r="AE166" s="161" t="e">
        <f t="shared" ca="1" si="102"/>
        <v>#N/A</v>
      </c>
      <c r="AF166" s="286" t="e">
        <f t="shared" ca="1" si="78"/>
        <v>#N/A</v>
      </c>
      <c r="AG166" s="285">
        <f t="shared" si="122"/>
        <v>1.3457327698372559E-3</v>
      </c>
      <c r="AH166" s="99">
        <f t="shared" si="123"/>
        <v>1.348E-3</v>
      </c>
      <c r="AI166" s="99">
        <f t="shared" si="103"/>
        <v>0.98933499999999996</v>
      </c>
      <c r="AJ166" s="99" t="e">
        <f t="shared" ca="1" si="124"/>
        <v>#N/A</v>
      </c>
      <c r="AK166" s="161" t="e">
        <f t="shared" ca="1" si="104"/>
        <v>#N/A</v>
      </c>
      <c r="AL166" s="286" t="e">
        <f t="shared" ca="1" si="82"/>
        <v>#N/A</v>
      </c>
      <c r="AM166" s="285">
        <f t="shared" si="125"/>
        <v>1.4630211362433644E-3</v>
      </c>
      <c r="AN166" s="99">
        <f t="shared" si="126"/>
        <v>1.4649999999999999E-3</v>
      </c>
      <c r="AO166" s="99">
        <f t="shared" si="105"/>
        <v>0.98880400000000013</v>
      </c>
      <c r="AP166" s="99" t="e">
        <f t="shared" ca="1" si="127"/>
        <v>#N/A</v>
      </c>
      <c r="AQ166" s="161" t="e">
        <f t="shared" ca="1" si="106"/>
        <v>#N/A</v>
      </c>
      <c r="AR166" s="286" t="e">
        <f t="shared" ca="1" si="86"/>
        <v>#N/A</v>
      </c>
      <c r="AS166" s="285">
        <f t="shared" si="128"/>
        <v>5.5520088464071154E-4</v>
      </c>
      <c r="AT166" s="99">
        <f t="shared" si="129"/>
        <v>5.5500000000000005E-4</v>
      </c>
      <c r="AU166" s="99">
        <f t="shared" si="107"/>
        <v>0.99609700000000001</v>
      </c>
      <c r="AV166" s="99" t="e">
        <f t="shared" ca="1" si="130"/>
        <v>#N/A</v>
      </c>
      <c r="AW166" s="161" t="e">
        <f t="shared" ca="1" si="108"/>
        <v>#N/A</v>
      </c>
      <c r="AX166" s="286" t="e">
        <f t="shared" ca="1" si="90"/>
        <v>#N/A</v>
      </c>
    </row>
    <row r="167" spans="2:50" x14ac:dyDescent="0.25">
      <c r="B167" s="104">
        <f t="shared" si="94"/>
        <v>38</v>
      </c>
      <c r="C167" s="94">
        <v>39</v>
      </c>
      <c r="D167" s="94">
        <f t="shared" si="62"/>
        <v>2.6902115721868207E-4</v>
      </c>
      <c r="E167" s="94">
        <f t="shared" si="111"/>
        <v>2.6899999999999998E-4</v>
      </c>
      <c r="F167" s="94">
        <f t="shared" si="95"/>
        <v>0.99828699999999992</v>
      </c>
      <c r="G167" s="94" t="e">
        <f t="shared" ca="1" si="96"/>
        <v>#N/A</v>
      </c>
      <c r="H167" s="94" t="e">
        <f t="shared" ca="1" si="112"/>
        <v>#N/A</v>
      </c>
      <c r="I167" s="161" t="e">
        <f t="shared" ca="1" si="110"/>
        <v>#N/A</v>
      </c>
      <c r="J167" s="156" t="e">
        <f t="shared" ca="1" si="109"/>
        <v>#N/A</v>
      </c>
      <c r="K167" s="160" t="e">
        <f t="shared" ca="1" si="91"/>
        <v>#N/A</v>
      </c>
      <c r="L167" s="101" t="e">
        <f t="shared" ca="1" si="66"/>
        <v>#N/A</v>
      </c>
      <c r="M167" s="101" t="e">
        <f t="shared" ca="1" si="67"/>
        <v>#N/A</v>
      </c>
      <c r="N167" s="101" t="e">
        <f t="shared" ca="1" si="92"/>
        <v>#N/A</v>
      </c>
      <c r="O167" s="285">
        <f t="shared" si="113"/>
        <v>2.6902115721868207E-4</v>
      </c>
      <c r="P167" s="99">
        <f t="shared" si="114"/>
        <v>2.6899999999999998E-4</v>
      </c>
      <c r="Q167" s="99">
        <f t="shared" si="97"/>
        <v>0.99828699999999992</v>
      </c>
      <c r="R167" s="99" t="e">
        <f t="shared" ca="1" si="115"/>
        <v>#N/A</v>
      </c>
      <c r="S167" s="161" t="e">
        <f t="shared" ca="1" si="98"/>
        <v>#N/A</v>
      </c>
      <c r="T167" s="286" t="e">
        <f t="shared" ca="1" si="71"/>
        <v>#N/A</v>
      </c>
      <c r="U167" s="285">
        <f t="shared" si="116"/>
        <v>3.920390866871338E-6</v>
      </c>
      <c r="V167" s="99">
        <f t="shared" si="117"/>
        <v>3.9999999999999998E-6</v>
      </c>
      <c r="W167" s="99">
        <f t="shared" si="99"/>
        <v>0.99998599999999993</v>
      </c>
      <c r="X167" s="99" t="e">
        <f t="shared" ca="1" si="118"/>
        <v>#N/A</v>
      </c>
      <c r="Y167" s="161" t="e">
        <f t="shared" ca="1" si="100"/>
        <v>#N/A</v>
      </c>
      <c r="Z167" s="286" t="e">
        <f t="shared" ca="1" si="93"/>
        <v>#N/A</v>
      </c>
      <c r="AA167" s="285">
        <f t="shared" si="119"/>
        <v>3.2152429017394328E-3</v>
      </c>
      <c r="AB167" s="99">
        <f t="shared" si="120"/>
        <v>3.2590000000000002E-3</v>
      </c>
      <c r="AC167" s="99">
        <f t="shared" si="101"/>
        <v>0.9663219999999999</v>
      </c>
      <c r="AD167" s="99" t="e">
        <f t="shared" ca="1" si="121"/>
        <v>#N/A</v>
      </c>
      <c r="AE167" s="161" t="e">
        <f t="shared" ca="1" si="102"/>
        <v>#N/A</v>
      </c>
      <c r="AF167" s="286" t="e">
        <f t="shared" ca="1" si="78"/>
        <v>#N/A</v>
      </c>
      <c r="AG167" s="285">
        <f t="shared" si="122"/>
        <v>1.1989024809949645E-3</v>
      </c>
      <c r="AH167" s="99">
        <f t="shared" si="123"/>
        <v>1.201E-3</v>
      </c>
      <c r="AI167" s="99">
        <f t="shared" si="103"/>
        <v>0.99053599999999997</v>
      </c>
      <c r="AJ167" s="99" t="e">
        <f t="shared" ca="1" si="124"/>
        <v>#N/A</v>
      </c>
      <c r="AK167" s="161" t="e">
        <f t="shared" ca="1" si="104"/>
        <v>#N/A</v>
      </c>
      <c r="AL167" s="286" t="e">
        <f t="shared" ca="1" si="82"/>
        <v>#N/A</v>
      </c>
      <c r="AM167" s="285">
        <f t="shared" si="125"/>
        <v>1.2976645461378743E-3</v>
      </c>
      <c r="AN167" s="99">
        <f t="shared" si="126"/>
        <v>1.2999999999999999E-3</v>
      </c>
      <c r="AO167" s="99">
        <f t="shared" si="105"/>
        <v>0.9901040000000001</v>
      </c>
      <c r="AP167" s="99" t="e">
        <f t="shared" ca="1" si="127"/>
        <v>#N/A</v>
      </c>
      <c r="AQ167" s="161" t="e">
        <f t="shared" ca="1" si="106"/>
        <v>#N/A</v>
      </c>
      <c r="AR167" s="286" t="e">
        <f t="shared" ca="1" si="86"/>
        <v>#N/A</v>
      </c>
      <c r="AS167" s="285">
        <f t="shared" si="128"/>
        <v>4.8596651401152811E-4</v>
      </c>
      <c r="AT167" s="99">
        <f t="shared" si="129"/>
        <v>4.86E-4</v>
      </c>
      <c r="AU167" s="99">
        <f t="shared" si="107"/>
        <v>0.996583</v>
      </c>
      <c r="AV167" s="99" t="e">
        <f t="shared" ca="1" si="130"/>
        <v>#N/A</v>
      </c>
      <c r="AW167" s="161" t="e">
        <f t="shared" ca="1" si="108"/>
        <v>#N/A</v>
      </c>
      <c r="AX167" s="286" t="e">
        <f t="shared" ca="1" si="90"/>
        <v>#N/A</v>
      </c>
    </row>
    <row r="168" spans="2:50" x14ac:dyDescent="0.25">
      <c r="B168" s="104">
        <f t="shared" si="94"/>
        <v>39</v>
      </c>
      <c r="C168" s="94">
        <v>40</v>
      </c>
      <c r="D168" s="94">
        <f t="shared" si="62"/>
        <v>2.3229648465483449E-4</v>
      </c>
      <c r="E168" s="94">
        <f t="shared" si="111"/>
        <v>2.32E-4</v>
      </c>
      <c r="F168" s="94">
        <f t="shared" si="95"/>
        <v>0.99851899999999993</v>
      </c>
      <c r="G168" s="94" t="e">
        <f t="shared" ca="1" si="96"/>
        <v>#N/A</v>
      </c>
      <c r="H168" s="94" t="e">
        <f t="shared" ca="1" si="112"/>
        <v>#N/A</v>
      </c>
      <c r="I168" s="161" t="e">
        <f t="shared" ca="1" si="110"/>
        <v>#N/A</v>
      </c>
      <c r="J168" s="156" t="e">
        <f t="shared" ca="1" si="109"/>
        <v>#N/A</v>
      </c>
      <c r="K168" s="160" t="e">
        <f t="shared" ca="1" si="91"/>
        <v>#N/A</v>
      </c>
      <c r="L168" s="101" t="e">
        <f t="shared" ca="1" si="66"/>
        <v>#N/A</v>
      </c>
      <c r="M168" s="101" t="e">
        <f t="shared" ca="1" si="67"/>
        <v>#N/A</v>
      </c>
      <c r="N168" s="101" t="e">
        <f t="shared" ca="1" si="92"/>
        <v>#N/A</v>
      </c>
      <c r="O168" s="285">
        <f t="shared" si="113"/>
        <v>2.3229648465483449E-4</v>
      </c>
      <c r="P168" s="99">
        <f t="shared" si="114"/>
        <v>2.32E-4</v>
      </c>
      <c r="Q168" s="99">
        <f t="shared" si="97"/>
        <v>0.99851899999999993</v>
      </c>
      <c r="R168" s="99" t="e">
        <f t="shared" ca="1" si="115"/>
        <v>#N/A</v>
      </c>
      <c r="S168" s="161" t="e">
        <f t="shared" ca="1" si="98"/>
        <v>#N/A</v>
      </c>
      <c r="T168" s="286" t="e">
        <f t="shared" ca="1" si="71"/>
        <v>#N/A</v>
      </c>
      <c r="U168" s="285">
        <f t="shared" si="116"/>
        <v>3.0884665582506449E-6</v>
      </c>
      <c r="V168" s="99">
        <f t="shared" si="117"/>
        <v>3.0000000000000001E-6</v>
      </c>
      <c r="W168" s="99">
        <f t="shared" si="99"/>
        <v>0.99998899999999991</v>
      </c>
      <c r="X168" s="99" t="e">
        <f t="shared" ca="1" si="118"/>
        <v>#N/A</v>
      </c>
      <c r="Y168" s="161" t="e">
        <f t="shared" ca="1" si="100"/>
        <v>#N/A</v>
      </c>
      <c r="Z168" s="286" t="e">
        <f t="shared" ca="1" si="93"/>
        <v>#N/A</v>
      </c>
      <c r="AA168" s="285">
        <f t="shared" si="119"/>
        <v>2.9733216781718469E-3</v>
      </c>
      <c r="AB168" s="99">
        <f t="shared" si="120"/>
        <v>3.0140000000000002E-3</v>
      </c>
      <c r="AC168" s="99">
        <f t="shared" si="101"/>
        <v>0.96933599999999986</v>
      </c>
      <c r="AD168" s="99" t="e">
        <f t="shared" ca="1" si="121"/>
        <v>#N/A</v>
      </c>
      <c r="AE168" s="161" t="e">
        <f t="shared" ca="1" si="102"/>
        <v>#N/A</v>
      </c>
      <c r="AF168" s="286" t="e">
        <f t="shared" ca="1" si="78"/>
        <v>#N/A</v>
      </c>
      <c r="AG168" s="285">
        <f t="shared" si="122"/>
        <v>1.0695865300934875E-3</v>
      </c>
      <c r="AH168" s="99">
        <f t="shared" si="123"/>
        <v>1.0709999999999999E-3</v>
      </c>
      <c r="AI168" s="99">
        <f t="shared" si="103"/>
        <v>0.99160700000000002</v>
      </c>
      <c r="AJ168" s="99" t="e">
        <f t="shared" ca="1" si="124"/>
        <v>#N/A</v>
      </c>
      <c r="AK168" s="161" t="e">
        <f t="shared" ca="1" si="104"/>
        <v>#N/A</v>
      </c>
      <c r="AL168" s="286" t="e">
        <f t="shared" ca="1" si="82"/>
        <v>#N/A</v>
      </c>
      <c r="AM168" s="285">
        <f t="shared" si="125"/>
        <v>1.1525366789865647E-3</v>
      </c>
      <c r="AN168" s="99">
        <f t="shared" si="126"/>
        <v>1.1540000000000001E-3</v>
      </c>
      <c r="AO168" s="99">
        <f t="shared" si="105"/>
        <v>0.99125800000000008</v>
      </c>
      <c r="AP168" s="99" t="e">
        <f t="shared" ca="1" si="127"/>
        <v>#N/A</v>
      </c>
      <c r="AQ168" s="161" t="e">
        <f t="shared" ca="1" si="106"/>
        <v>#N/A</v>
      </c>
      <c r="AR168" s="286" t="e">
        <f t="shared" ca="1" si="86"/>
        <v>#N/A</v>
      </c>
      <c r="AS168" s="285">
        <f t="shared" si="128"/>
        <v>4.2611806665553316E-4</v>
      </c>
      <c r="AT168" s="99">
        <f t="shared" si="129"/>
        <v>4.26E-4</v>
      </c>
      <c r="AU168" s="99">
        <f t="shared" si="107"/>
        <v>0.99700900000000003</v>
      </c>
      <c r="AV168" s="99" t="e">
        <f t="shared" ca="1" si="130"/>
        <v>#N/A</v>
      </c>
      <c r="AW168" s="161" t="e">
        <f t="shared" ca="1" si="108"/>
        <v>#N/A</v>
      </c>
      <c r="AX168" s="286" t="e">
        <f t="shared" ca="1" si="90"/>
        <v>#N/A</v>
      </c>
    </row>
    <row r="169" spans="2:50" x14ac:dyDescent="0.25">
      <c r="B169" s="104">
        <f t="shared" si="94"/>
        <v>40</v>
      </c>
      <c r="C169" s="94">
        <v>41</v>
      </c>
      <c r="D169" s="94">
        <f t="shared" si="62"/>
        <v>2.0097343489636695E-4</v>
      </c>
      <c r="E169" s="94">
        <f t="shared" si="111"/>
        <v>2.0100000000000001E-4</v>
      </c>
      <c r="F169" s="94">
        <f t="shared" si="95"/>
        <v>0.99871999999999994</v>
      </c>
      <c r="G169" s="94" t="e">
        <f t="shared" ca="1" si="96"/>
        <v>#N/A</v>
      </c>
      <c r="H169" s="94" t="e">
        <f t="shared" ca="1" si="112"/>
        <v>#N/A</v>
      </c>
      <c r="I169" s="161" t="e">
        <f t="shared" ca="1" si="110"/>
        <v>#N/A</v>
      </c>
      <c r="J169" s="156" t="e">
        <f t="shared" ca="1" si="109"/>
        <v>#N/A</v>
      </c>
      <c r="K169" s="160" t="e">
        <f t="shared" ca="1" si="91"/>
        <v>#N/A</v>
      </c>
      <c r="L169" s="101" t="e">
        <f t="shared" ca="1" si="66"/>
        <v>#N/A</v>
      </c>
      <c r="M169" s="101" t="e">
        <f t="shared" ca="1" si="67"/>
        <v>#N/A</v>
      </c>
      <c r="N169" s="101" t="e">
        <f t="shared" ca="1" si="92"/>
        <v>#N/A</v>
      </c>
      <c r="O169" s="285">
        <f t="shared" si="113"/>
        <v>2.0097343489636695E-4</v>
      </c>
      <c r="P169" s="99">
        <f t="shared" si="114"/>
        <v>2.0100000000000001E-4</v>
      </c>
      <c r="Q169" s="99">
        <f t="shared" si="97"/>
        <v>0.99871999999999994</v>
      </c>
      <c r="R169" s="99" t="e">
        <f t="shared" ca="1" si="115"/>
        <v>#N/A</v>
      </c>
      <c r="S169" s="161" t="e">
        <f t="shared" ca="1" si="98"/>
        <v>#N/A</v>
      </c>
      <c r="T169" s="286" t="e">
        <f t="shared" ca="1" si="71"/>
        <v>#N/A</v>
      </c>
      <c r="U169" s="285">
        <f t="shared" si="116"/>
        <v>2.4412859885962691E-6</v>
      </c>
      <c r="V169" s="99">
        <f t="shared" si="117"/>
        <v>1.9999999999999999E-6</v>
      </c>
      <c r="W169" s="99">
        <f t="shared" si="99"/>
        <v>0.99999099999999985</v>
      </c>
      <c r="X169" s="99" t="e">
        <f t="shared" ca="1" si="118"/>
        <v>#N/A</v>
      </c>
      <c r="Y169" s="161" t="e">
        <f t="shared" ca="1" si="100"/>
        <v>#N/A</v>
      </c>
      <c r="Z169" s="286" t="e">
        <f t="shared" ca="1" si="93"/>
        <v>#N/A</v>
      </c>
      <c r="AA169" s="285">
        <f t="shared" si="119"/>
        <v>2.752276140952554E-3</v>
      </c>
      <c r="AB169" s="99">
        <f t="shared" si="120"/>
        <v>2.7899999999999999E-3</v>
      </c>
      <c r="AC169" s="99">
        <f t="shared" si="101"/>
        <v>0.97212599999999982</v>
      </c>
      <c r="AD169" s="99" t="e">
        <f t="shared" ca="1" si="121"/>
        <v>#N/A</v>
      </c>
      <c r="AE169" s="161" t="e">
        <f t="shared" ca="1" si="102"/>
        <v>#N/A</v>
      </c>
      <c r="AF169" s="286" t="e">
        <f t="shared" ca="1" si="78"/>
        <v>#N/A</v>
      </c>
      <c r="AG169" s="285">
        <f t="shared" si="122"/>
        <v>9.5552317297304475E-4</v>
      </c>
      <c r="AH169" s="99">
        <f t="shared" si="123"/>
        <v>9.5699999999999995E-4</v>
      </c>
      <c r="AI169" s="99">
        <f t="shared" si="103"/>
        <v>0.992564</v>
      </c>
      <c r="AJ169" s="99" t="e">
        <f t="shared" ca="1" si="124"/>
        <v>#N/A</v>
      </c>
      <c r="AK169" s="161" t="e">
        <f t="shared" ca="1" si="104"/>
        <v>#N/A</v>
      </c>
      <c r="AL169" s="286" t="e">
        <f t="shared" ca="1" si="82"/>
        <v>#N/A</v>
      </c>
      <c r="AM169" s="285">
        <f t="shared" si="125"/>
        <v>1.0249835316369674E-3</v>
      </c>
      <c r="AN169" s="99">
        <f t="shared" si="126"/>
        <v>1.0269999999999999E-3</v>
      </c>
      <c r="AO169" s="99">
        <f t="shared" si="105"/>
        <v>0.99228500000000008</v>
      </c>
      <c r="AP169" s="99" t="e">
        <f t="shared" ca="1" si="127"/>
        <v>#N/A</v>
      </c>
      <c r="AQ169" s="161" t="e">
        <f t="shared" ca="1" si="106"/>
        <v>#N/A</v>
      </c>
      <c r="AR169" s="286" t="e">
        <f t="shared" ca="1" si="86"/>
        <v>#N/A</v>
      </c>
      <c r="AS169" s="285">
        <f t="shared" si="128"/>
        <v>3.7428296382028008E-4</v>
      </c>
      <c r="AT169" s="99">
        <f t="shared" si="129"/>
        <v>3.7399999999999998E-4</v>
      </c>
      <c r="AU169" s="99">
        <f t="shared" si="107"/>
        <v>0.99738300000000002</v>
      </c>
      <c r="AV169" s="99" t="e">
        <f t="shared" ca="1" si="130"/>
        <v>#N/A</v>
      </c>
      <c r="AW169" s="161" t="e">
        <f t="shared" ca="1" si="108"/>
        <v>#N/A</v>
      </c>
      <c r="AX169" s="286" t="e">
        <f t="shared" ca="1" si="90"/>
        <v>#N/A</v>
      </c>
    </row>
    <row r="170" spans="2:50" x14ac:dyDescent="0.25">
      <c r="B170" s="104">
        <f t="shared" si="94"/>
        <v>41</v>
      </c>
      <c r="C170" s="94">
        <v>42</v>
      </c>
      <c r="D170" s="94">
        <f t="shared" si="62"/>
        <v>1.7420134051864008E-4</v>
      </c>
      <c r="E170" s="94">
        <f t="shared" si="111"/>
        <v>1.74E-4</v>
      </c>
      <c r="F170" s="94">
        <f t="shared" si="95"/>
        <v>0.99889399999999995</v>
      </c>
      <c r="G170" s="94" t="e">
        <f t="shared" ca="1" si="96"/>
        <v>#N/A</v>
      </c>
      <c r="H170" s="94" t="e">
        <f t="shared" ca="1" si="112"/>
        <v>#N/A</v>
      </c>
      <c r="I170" s="161" t="e">
        <f t="shared" ca="1" si="110"/>
        <v>#N/A</v>
      </c>
      <c r="J170" s="156" t="e">
        <f t="shared" ca="1" si="109"/>
        <v>#N/A</v>
      </c>
      <c r="K170" s="160" t="e">
        <f t="shared" ca="1" si="91"/>
        <v>#N/A</v>
      </c>
      <c r="L170" s="101" t="e">
        <f t="shared" ca="1" si="66"/>
        <v>#N/A</v>
      </c>
      <c r="M170" s="101" t="e">
        <f t="shared" ca="1" si="67"/>
        <v>#N/A</v>
      </c>
      <c r="N170" s="101" t="e">
        <f t="shared" ca="1" si="92"/>
        <v>#N/A</v>
      </c>
      <c r="O170" s="285">
        <f t="shared" si="113"/>
        <v>1.7420134051864008E-4</v>
      </c>
      <c r="P170" s="99">
        <f t="shared" si="114"/>
        <v>1.74E-4</v>
      </c>
      <c r="Q170" s="99">
        <f t="shared" si="97"/>
        <v>0.99889399999999995</v>
      </c>
      <c r="R170" s="99" t="e">
        <f t="shared" ca="1" si="115"/>
        <v>#N/A</v>
      </c>
      <c r="S170" s="161" t="e">
        <f t="shared" ca="1" si="98"/>
        <v>#N/A</v>
      </c>
      <c r="T170" s="286" t="e">
        <f t="shared" ca="1" si="71"/>
        <v>#N/A</v>
      </c>
      <c r="U170" s="285">
        <f t="shared" si="116"/>
        <v>1.9360307230400938E-6</v>
      </c>
      <c r="V170" s="99">
        <f t="shared" si="117"/>
        <v>1.9999999999999999E-6</v>
      </c>
      <c r="W170" s="99">
        <f t="shared" si="99"/>
        <v>0.9999929999999998</v>
      </c>
      <c r="X170" s="99" t="e">
        <f t="shared" ca="1" si="118"/>
        <v>#N/A</v>
      </c>
      <c r="Y170" s="161" t="e">
        <f t="shared" ca="1" si="100"/>
        <v>#N/A</v>
      </c>
      <c r="Z170" s="286" t="e">
        <f t="shared" ca="1" si="93"/>
        <v>#N/A</v>
      </c>
      <c r="AA170" s="285">
        <f t="shared" si="119"/>
        <v>2.550079371800725E-3</v>
      </c>
      <c r="AB170" s="99">
        <f t="shared" si="120"/>
        <v>2.5850000000000001E-3</v>
      </c>
      <c r="AC170" s="99">
        <f t="shared" si="101"/>
        <v>0.97471099999999977</v>
      </c>
      <c r="AD170" s="99" t="e">
        <f t="shared" ca="1" si="121"/>
        <v>#N/A</v>
      </c>
      <c r="AE170" s="161" t="e">
        <f t="shared" ca="1" si="102"/>
        <v>#N/A</v>
      </c>
      <c r="AF170" s="286" t="e">
        <f t="shared" ca="1" si="78"/>
        <v>#N/A</v>
      </c>
      <c r="AG170" s="285">
        <f t="shared" si="122"/>
        <v>8.5476391724705753E-4</v>
      </c>
      <c r="AH170" s="99">
        <f t="shared" si="123"/>
        <v>8.5599999999999999E-4</v>
      </c>
      <c r="AI170" s="99">
        <f t="shared" si="103"/>
        <v>0.99341999999999997</v>
      </c>
      <c r="AJ170" s="99" t="e">
        <f t="shared" ca="1" si="124"/>
        <v>#N/A</v>
      </c>
      <c r="AK170" s="161" t="e">
        <f t="shared" ca="1" si="104"/>
        <v>#N/A</v>
      </c>
      <c r="AL170" s="286" t="e">
        <f t="shared" ca="1" si="82"/>
        <v>#N/A</v>
      </c>
      <c r="AM170" s="285">
        <f t="shared" si="125"/>
        <v>9.1272109379272881E-4</v>
      </c>
      <c r="AN170" s="99">
        <f t="shared" si="126"/>
        <v>9.1399999999999999E-4</v>
      </c>
      <c r="AO170" s="99">
        <f t="shared" si="105"/>
        <v>0.99319900000000005</v>
      </c>
      <c r="AP170" s="99" t="e">
        <f t="shared" ca="1" si="127"/>
        <v>#N/A</v>
      </c>
      <c r="AQ170" s="161" t="e">
        <f t="shared" ca="1" si="106"/>
        <v>#N/A</v>
      </c>
      <c r="AR170" s="286" t="e">
        <f t="shared" ca="1" si="86"/>
        <v>#N/A</v>
      </c>
      <c r="AS170" s="285">
        <f t="shared" si="128"/>
        <v>3.2930360342304583E-4</v>
      </c>
      <c r="AT170" s="99">
        <f t="shared" si="129"/>
        <v>3.2899999999999997E-4</v>
      </c>
      <c r="AU170" s="99">
        <f t="shared" si="107"/>
        <v>0.99771200000000004</v>
      </c>
      <c r="AV170" s="99" t="e">
        <f t="shared" ca="1" si="130"/>
        <v>#N/A</v>
      </c>
      <c r="AW170" s="161" t="e">
        <f t="shared" ca="1" si="108"/>
        <v>#N/A</v>
      </c>
      <c r="AX170" s="286" t="e">
        <f t="shared" ca="1" si="90"/>
        <v>#N/A</v>
      </c>
    </row>
    <row r="171" spans="2:50" x14ac:dyDescent="0.25">
      <c r="B171" s="104">
        <f t="shared" si="94"/>
        <v>42</v>
      </c>
      <c r="C171" s="94">
        <v>43</v>
      </c>
      <c r="D171" s="94">
        <f t="shared" si="62"/>
        <v>1.5127214455930337E-4</v>
      </c>
      <c r="E171" s="94">
        <f t="shared" si="111"/>
        <v>1.5100000000000001E-4</v>
      </c>
      <c r="F171" s="94">
        <f t="shared" si="95"/>
        <v>0.99904499999999996</v>
      </c>
      <c r="G171" s="94" t="e">
        <f t="shared" ca="1" si="96"/>
        <v>#N/A</v>
      </c>
      <c r="H171" s="94" t="e">
        <f t="shared" ca="1" si="112"/>
        <v>#N/A</v>
      </c>
      <c r="I171" s="161" t="e">
        <f t="shared" ca="1" si="110"/>
        <v>#N/A</v>
      </c>
      <c r="J171" s="156" t="e">
        <f t="shared" ca="1" si="109"/>
        <v>#N/A</v>
      </c>
      <c r="K171" s="160" t="e">
        <f t="shared" ca="1" si="91"/>
        <v>#N/A</v>
      </c>
      <c r="L171" s="101" t="e">
        <f t="shared" ca="1" si="66"/>
        <v>#N/A</v>
      </c>
      <c r="M171" s="101" t="e">
        <f t="shared" ca="1" si="67"/>
        <v>#N/A</v>
      </c>
      <c r="N171" s="101" t="e">
        <f t="shared" ca="1" si="92"/>
        <v>#N/A</v>
      </c>
      <c r="O171" s="285">
        <f t="shared" si="113"/>
        <v>1.5127214455930337E-4</v>
      </c>
      <c r="P171" s="99">
        <f t="shared" si="114"/>
        <v>1.5100000000000001E-4</v>
      </c>
      <c r="Q171" s="99">
        <f t="shared" si="97"/>
        <v>0.99904499999999996</v>
      </c>
      <c r="R171" s="99" t="e">
        <f t="shared" ca="1" si="115"/>
        <v>#N/A</v>
      </c>
      <c r="S171" s="161" t="e">
        <f t="shared" ca="1" si="98"/>
        <v>#N/A</v>
      </c>
      <c r="T171" s="286" t="e">
        <f t="shared" ca="1" si="71"/>
        <v>#N/A</v>
      </c>
      <c r="U171" s="285">
        <f t="shared" si="116"/>
        <v>1.5402144465500998E-6</v>
      </c>
      <c r="V171" s="99">
        <f t="shared" si="117"/>
        <v>1.9999999999999999E-6</v>
      </c>
      <c r="W171" s="99">
        <f t="shared" si="99"/>
        <v>0.99999499999999975</v>
      </c>
      <c r="X171" s="99" t="e">
        <f t="shared" ca="1" si="118"/>
        <v>#N/A</v>
      </c>
      <c r="Y171" s="161" t="e">
        <f t="shared" ca="1" si="100"/>
        <v>#N/A</v>
      </c>
      <c r="Z171" s="286" t="e">
        <f t="shared" ca="1" si="93"/>
        <v>#N/A</v>
      </c>
      <c r="AA171" s="285">
        <f t="shared" si="119"/>
        <v>2.3649220751957739E-3</v>
      </c>
      <c r="AB171" s="99">
        <f t="shared" si="120"/>
        <v>2.3969999999999998E-3</v>
      </c>
      <c r="AC171" s="99">
        <f t="shared" si="101"/>
        <v>0.97710799999999975</v>
      </c>
      <c r="AD171" s="99" t="e">
        <f t="shared" ca="1" si="121"/>
        <v>#N/A</v>
      </c>
      <c r="AE171" s="161" t="e">
        <f t="shared" ca="1" si="102"/>
        <v>#N/A</v>
      </c>
      <c r="AF171" s="286" t="e">
        <f t="shared" ca="1" si="78"/>
        <v>#N/A</v>
      </c>
      <c r="AG171" s="285">
        <f t="shared" si="122"/>
        <v>7.6562742288593174E-4</v>
      </c>
      <c r="AH171" s="99">
        <f t="shared" si="123"/>
        <v>7.67E-4</v>
      </c>
      <c r="AI171" s="99">
        <f t="shared" si="103"/>
        <v>0.99418699999999993</v>
      </c>
      <c r="AJ171" s="99" t="e">
        <f t="shared" ca="1" si="124"/>
        <v>#N/A</v>
      </c>
      <c r="AK171" s="161" t="e">
        <f t="shared" ca="1" si="104"/>
        <v>#N/A</v>
      </c>
      <c r="AL171" s="286" t="e">
        <f t="shared" ca="1" si="82"/>
        <v>#N/A</v>
      </c>
      <c r="AM171" s="285">
        <f t="shared" si="125"/>
        <v>8.1378107968769348E-4</v>
      </c>
      <c r="AN171" s="99">
        <f t="shared" si="126"/>
        <v>8.1499999999999997E-4</v>
      </c>
      <c r="AO171" s="99">
        <f t="shared" si="105"/>
        <v>0.99401400000000006</v>
      </c>
      <c r="AP171" s="99" t="e">
        <f t="shared" ca="1" si="127"/>
        <v>#N/A</v>
      </c>
      <c r="AQ171" s="161" t="e">
        <f t="shared" ca="1" si="106"/>
        <v>#N/A</v>
      </c>
      <c r="AR171" s="286" t="e">
        <f t="shared" ca="1" si="86"/>
        <v>#N/A</v>
      </c>
      <c r="AS171" s="285">
        <f t="shared" si="128"/>
        <v>2.9020153923931853E-4</v>
      </c>
      <c r="AT171" s="99">
        <f t="shared" si="129"/>
        <v>2.9E-4</v>
      </c>
      <c r="AU171" s="99">
        <f t="shared" si="107"/>
        <v>0.99800200000000006</v>
      </c>
      <c r="AV171" s="99" t="e">
        <f t="shared" ca="1" si="130"/>
        <v>#N/A</v>
      </c>
      <c r="AW171" s="161" t="e">
        <f t="shared" ca="1" si="108"/>
        <v>#N/A</v>
      </c>
      <c r="AX171" s="286" t="e">
        <f t="shared" ca="1" si="90"/>
        <v>#N/A</v>
      </c>
    </row>
    <row r="172" spans="2:50" x14ac:dyDescent="0.25">
      <c r="B172" s="104">
        <f t="shared" si="94"/>
        <v>43</v>
      </c>
      <c r="C172" s="94">
        <v>44</v>
      </c>
      <c r="D172" s="94">
        <f t="shared" si="62"/>
        <v>1.31595086508398E-4</v>
      </c>
      <c r="E172" s="94">
        <f t="shared" si="111"/>
        <v>1.3200000000000001E-4</v>
      </c>
      <c r="F172" s="94">
        <f t="shared" si="95"/>
        <v>0.99917699999999998</v>
      </c>
      <c r="G172" s="94" t="e">
        <f t="shared" ca="1" si="96"/>
        <v>#N/A</v>
      </c>
      <c r="H172" s="94" t="e">
        <f t="shared" ca="1" si="112"/>
        <v>#N/A</v>
      </c>
      <c r="I172" s="161" t="e">
        <f t="shared" ca="1" si="110"/>
        <v>#N/A</v>
      </c>
      <c r="J172" s="156" t="e">
        <f t="shared" ca="1" si="109"/>
        <v>#N/A</v>
      </c>
      <c r="K172" s="160" t="e">
        <f t="shared" ca="1" si="91"/>
        <v>#N/A</v>
      </c>
      <c r="L172" s="101" t="e">
        <f t="shared" ca="1" si="66"/>
        <v>#N/A</v>
      </c>
      <c r="M172" s="101" t="e">
        <f t="shared" ca="1" si="67"/>
        <v>#N/A</v>
      </c>
      <c r="N172" s="101" t="e">
        <f t="shared" ca="1" si="92"/>
        <v>#N/A</v>
      </c>
      <c r="O172" s="285">
        <f t="shared" si="113"/>
        <v>1.31595086508398E-4</v>
      </c>
      <c r="P172" s="99">
        <f t="shared" si="114"/>
        <v>1.3200000000000001E-4</v>
      </c>
      <c r="Q172" s="99">
        <f t="shared" si="97"/>
        <v>0.99917699999999998</v>
      </c>
      <c r="R172" s="99" t="e">
        <f t="shared" ca="1" si="115"/>
        <v>#N/A</v>
      </c>
      <c r="S172" s="161" t="e">
        <f t="shared" ca="1" si="98"/>
        <v>#N/A</v>
      </c>
      <c r="T172" s="286" t="e">
        <f t="shared" ca="1" si="71"/>
        <v>#N/A</v>
      </c>
      <c r="U172" s="285">
        <f t="shared" si="116"/>
        <v>1.2290933208200089E-6</v>
      </c>
      <c r="V172" s="99">
        <f t="shared" si="117"/>
        <v>9.9999999999999995E-7</v>
      </c>
      <c r="W172" s="99">
        <f t="shared" si="99"/>
        <v>0.99999599999999977</v>
      </c>
      <c r="X172" s="99" t="e">
        <f t="shared" ca="1" si="118"/>
        <v>#N/A</v>
      </c>
      <c r="Y172" s="161" t="e">
        <f t="shared" ca="1" si="100"/>
        <v>#N/A</v>
      </c>
      <c r="Z172" s="286" t="e">
        <f t="shared" ca="1" si="93"/>
        <v>#N/A</v>
      </c>
      <c r="AA172" s="285">
        <f t="shared" si="119"/>
        <v>2.1951871696104675E-3</v>
      </c>
      <c r="AB172" s="99">
        <f t="shared" si="120"/>
        <v>2.225E-3</v>
      </c>
      <c r="AC172" s="99">
        <f t="shared" si="101"/>
        <v>0.97933299999999979</v>
      </c>
      <c r="AD172" s="99" t="e">
        <f t="shared" ca="1" si="121"/>
        <v>#N/A</v>
      </c>
      <c r="AE172" s="161" t="e">
        <f t="shared" ca="1" si="102"/>
        <v>#N/A</v>
      </c>
      <c r="AF172" s="286" t="e">
        <f t="shared" ca="1" si="78"/>
        <v>#N/A</v>
      </c>
      <c r="AG172" s="285">
        <f t="shared" si="122"/>
        <v>6.8666054111195989E-4</v>
      </c>
      <c r="AH172" s="99">
        <f t="shared" si="123"/>
        <v>6.8800000000000003E-4</v>
      </c>
      <c r="AI172" s="99">
        <f t="shared" si="103"/>
        <v>0.99487499999999995</v>
      </c>
      <c r="AJ172" s="99" t="e">
        <f t="shared" ca="1" si="124"/>
        <v>#N/A</v>
      </c>
      <c r="AK172" s="161" t="e">
        <f t="shared" ca="1" si="104"/>
        <v>#N/A</v>
      </c>
      <c r="AL172" s="286" t="e">
        <f t="shared" ca="1" si="82"/>
        <v>#N/A</v>
      </c>
      <c r="AM172" s="285">
        <f t="shared" si="125"/>
        <v>7.2646493898862136E-4</v>
      </c>
      <c r="AN172" s="99">
        <f t="shared" si="126"/>
        <v>7.2800000000000002E-4</v>
      </c>
      <c r="AO172" s="99">
        <f t="shared" si="105"/>
        <v>0.99474200000000002</v>
      </c>
      <c r="AP172" s="99" t="e">
        <f t="shared" ca="1" si="127"/>
        <v>#N/A</v>
      </c>
      <c r="AQ172" s="161" t="e">
        <f t="shared" ca="1" si="106"/>
        <v>#N/A</v>
      </c>
      <c r="AR172" s="286" t="e">
        <f t="shared" ca="1" si="86"/>
        <v>#N/A</v>
      </c>
      <c r="AS172" s="285">
        <f t="shared" si="128"/>
        <v>2.5614796977086672E-4</v>
      </c>
      <c r="AT172" s="99">
        <f t="shared" si="129"/>
        <v>2.5599999999999999E-4</v>
      </c>
      <c r="AU172" s="99">
        <f t="shared" si="107"/>
        <v>0.99825800000000009</v>
      </c>
      <c r="AV172" s="99" t="e">
        <f t="shared" ca="1" si="130"/>
        <v>#N/A</v>
      </c>
      <c r="AW172" s="161" t="e">
        <f t="shared" ca="1" si="108"/>
        <v>#N/A</v>
      </c>
      <c r="AX172" s="286" t="e">
        <f t="shared" ca="1" si="90"/>
        <v>#N/A</v>
      </c>
    </row>
    <row r="173" spans="2:50" x14ac:dyDescent="0.25">
      <c r="B173" s="104">
        <f t="shared" si="94"/>
        <v>44</v>
      </c>
      <c r="C173" s="94">
        <v>45</v>
      </c>
      <c r="D173" s="94">
        <f t="shared" si="62"/>
        <v>1.1467612184442529E-4</v>
      </c>
      <c r="E173" s="94">
        <f t="shared" si="111"/>
        <v>1.15E-4</v>
      </c>
      <c r="F173" s="94">
        <f t="shared" si="95"/>
        <v>0.99929199999999996</v>
      </c>
      <c r="G173" s="94" t="e">
        <f t="shared" ca="1" si="96"/>
        <v>#N/A</v>
      </c>
      <c r="H173" s="94" t="e">
        <f t="shared" ca="1" si="112"/>
        <v>#N/A</v>
      </c>
      <c r="I173" s="161" t="e">
        <f t="shared" ca="1" si="110"/>
        <v>#N/A</v>
      </c>
      <c r="J173" s="156" t="e">
        <f t="shared" ca="1" si="109"/>
        <v>#N/A</v>
      </c>
      <c r="K173" s="160" t="e">
        <f t="shared" ca="1" si="91"/>
        <v>#N/A</v>
      </c>
      <c r="L173" s="101" t="e">
        <f t="shared" ca="1" si="66"/>
        <v>#N/A</v>
      </c>
      <c r="M173" s="101" t="e">
        <f t="shared" ca="1" si="67"/>
        <v>#N/A</v>
      </c>
      <c r="N173" s="101" t="e">
        <f t="shared" ca="1" si="92"/>
        <v>#N/A</v>
      </c>
      <c r="O173" s="285">
        <f t="shared" si="113"/>
        <v>1.1467612184442529E-4</v>
      </c>
      <c r="P173" s="99">
        <f t="shared" si="114"/>
        <v>1.15E-4</v>
      </c>
      <c r="Q173" s="99">
        <f t="shared" si="97"/>
        <v>0.99929199999999996</v>
      </c>
      <c r="R173" s="99" t="e">
        <f t="shared" ca="1" si="115"/>
        <v>#N/A</v>
      </c>
      <c r="S173" s="161" t="e">
        <f t="shared" ca="1" si="98"/>
        <v>#N/A</v>
      </c>
      <c r="T173" s="286" t="e">
        <f t="shared" ca="1" si="71"/>
        <v>#N/A</v>
      </c>
      <c r="U173" s="285">
        <f t="shared" si="116"/>
        <v>9.8374907256667936E-7</v>
      </c>
      <c r="V173" s="99">
        <f t="shared" si="117"/>
        <v>9.9999999999999995E-7</v>
      </c>
      <c r="W173" s="99">
        <f t="shared" si="99"/>
        <v>0.9999969999999998</v>
      </c>
      <c r="X173" s="99" t="e">
        <f t="shared" ca="1" si="118"/>
        <v>#N/A</v>
      </c>
      <c r="Y173" s="161" t="e">
        <f t="shared" ca="1" si="100"/>
        <v>#N/A</v>
      </c>
      <c r="Z173" s="286" t="e">
        <f t="shared" ca="1" si="93"/>
        <v>#N/A</v>
      </c>
      <c r="AA173" s="285">
        <f t="shared" si="119"/>
        <v>2.0394275490250805E-3</v>
      </c>
      <c r="AB173" s="99">
        <f t="shared" si="120"/>
        <v>2.0669999999999998E-3</v>
      </c>
      <c r="AC173" s="99">
        <f t="shared" si="101"/>
        <v>0.98139999999999983</v>
      </c>
      <c r="AD173" s="99" t="e">
        <f t="shared" ca="1" si="121"/>
        <v>#N/A</v>
      </c>
      <c r="AE173" s="161" t="e">
        <f t="shared" ca="1" si="102"/>
        <v>#N/A</v>
      </c>
      <c r="AF173" s="286" t="e">
        <f t="shared" ca="1" si="78"/>
        <v>#N/A</v>
      </c>
      <c r="AG173" s="285">
        <f t="shared" si="122"/>
        <v>6.1660534144913079E-4</v>
      </c>
      <c r="AH173" s="99">
        <f t="shared" si="123"/>
        <v>6.1799999999999995E-4</v>
      </c>
      <c r="AI173" s="99">
        <f t="shared" si="103"/>
        <v>0.99549299999999996</v>
      </c>
      <c r="AJ173" s="99" t="e">
        <f t="shared" ca="1" si="124"/>
        <v>#N/A</v>
      </c>
      <c r="AK173" s="161" t="e">
        <f t="shared" ca="1" si="104"/>
        <v>#N/A</v>
      </c>
      <c r="AL173" s="286" t="e">
        <f t="shared" ca="1" si="82"/>
        <v>#N/A</v>
      </c>
      <c r="AM173" s="285">
        <f t="shared" si="125"/>
        <v>6.4930485244207815E-4</v>
      </c>
      <c r="AN173" s="99">
        <f t="shared" si="126"/>
        <v>6.4999999999999997E-4</v>
      </c>
      <c r="AO173" s="99">
        <f t="shared" si="105"/>
        <v>0.99539200000000005</v>
      </c>
      <c r="AP173" s="99" t="e">
        <f t="shared" ca="1" si="127"/>
        <v>#N/A</v>
      </c>
      <c r="AQ173" s="161" t="e">
        <f t="shared" ca="1" si="106"/>
        <v>#N/A</v>
      </c>
      <c r="AR173" s="286" t="e">
        <f t="shared" ca="1" si="86"/>
        <v>#N/A</v>
      </c>
      <c r="AS173" s="285">
        <f t="shared" si="128"/>
        <v>2.2643936915525743E-4</v>
      </c>
      <c r="AT173" s="99">
        <f t="shared" si="129"/>
        <v>2.2699999999999999E-4</v>
      </c>
      <c r="AU173" s="99">
        <f t="shared" si="107"/>
        <v>0.99848500000000007</v>
      </c>
      <c r="AV173" s="99" t="e">
        <f t="shared" ca="1" si="130"/>
        <v>#N/A</v>
      </c>
      <c r="AW173" s="161" t="e">
        <f t="shared" ca="1" si="108"/>
        <v>#N/A</v>
      </c>
      <c r="AX173" s="286" t="e">
        <f t="shared" ca="1" si="90"/>
        <v>#N/A</v>
      </c>
    </row>
    <row r="174" spans="2:50" x14ac:dyDescent="0.25">
      <c r="B174" s="104">
        <f t="shared" si="94"/>
        <v>45</v>
      </c>
      <c r="C174" s="94">
        <v>46</v>
      </c>
      <c r="D174" s="94">
        <f t="shared" si="62"/>
        <v>1.001011471760572E-4</v>
      </c>
      <c r="E174" s="94">
        <f t="shared" si="111"/>
        <v>1E-4</v>
      </c>
      <c r="F174" s="94">
        <f t="shared" si="95"/>
        <v>0.99939199999999995</v>
      </c>
      <c r="G174" s="94" t="e">
        <f t="shared" ca="1" si="96"/>
        <v>#N/A</v>
      </c>
      <c r="H174" s="94" t="e">
        <f t="shared" ca="1" si="112"/>
        <v>#N/A</v>
      </c>
      <c r="I174" s="161" t="e">
        <f t="shared" ca="1" si="110"/>
        <v>#N/A</v>
      </c>
      <c r="J174" s="156" t="e">
        <f t="shared" ca="1" si="109"/>
        <v>#N/A</v>
      </c>
      <c r="K174" s="160" t="e">
        <f t="shared" ca="1" si="91"/>
        <v>#N/A</v>
      </c>
      <c r="L174" s="101" t="e">
        <f t="shared" ca="1" si="66"/>
        <v>#N/A</v>
      </c>
      <c r="M174" s="101" t="e">
        <f t="shared" ca="1" si="67"/>
        <v>#N/A</v>
      </c>
      <c r="N174" s="101" t="e">
        <f t="shared" ca="1" si="92"/>
        <v>#N/A</v>
      </c>
      <c r="O174" s="285">
        <f t="shared" si="113"/>
        <v>1.001011471760572E-4</v>
      </c>
      <c r="P174" s="99">
        <f t="shared" si="114"/>
        <v>1E-4</v>
      </c>
      <c r="Q174" s="99">
        <f t="shared" si="97"/>
        <v>0.99939199999999995</v>
      </c>
      <c r="R174" s="99" t="e">
        <f t="shared" ca="1" si="115"/>
        <v>#N/A</v>
      </c>
      <c r="S174" s="161" t="e">
        <f t="shared" ca="1" si="98"/>
        <v>#N/A</v>
      </c>
      <c r="T174" s="286" t="e">
        <f t="shared" ca="1" si="71"/>
        <v>#N/A</v>
      </c>
      <c r="U174" s="285">
        <f t="shared" si="116"/>
        <v>7.8966404868802396E-7</v>
      </c>
      <c r="V174" s="99">
        <f t="shared" si="117"/>
        <v>9.9999999999999995E-7</v>
      </c>
      <c r="W174" s="99">
        <f t="shared" si="99"/>
        <v>0.99999799999999983</v>
      </c>
      <c r="X174" s="99" t="e">
        <f t="shared" ca="1" si="118"/>
        <v>#N/A</v>
      </c>
      <c r="Y174" s="161" t="e">
        <f t="shared" ca="1" si="100"/>
        <v>#N/A</v>
      </c>
      <c r="Z174" s="286" t="e">
        <f t="shared" ca="1" si="93"/>
        <v>#N/A</v>
      </c>
      <c r="AA174" s="285">
        <f t="shared" si="119"/>
        <v>1.8963466006454042E-3</v>
      </c>
      <c r="AB174" s="99">
        <f t="shared" si="120"/>
        <v>1.9220000000000001E-3</v>
      </c>
      <c r="AC174" s="99">
        <f t="shared" si="101"/>
        <v>0.98332199999999981</v>
      </c>
      <c r="AD174" s="99" t="e">
        <f t="shared" ca="1" si="121"/>
        <v>#N/A</v>
      </c>
      <c r="AE174" s="161" t="e">
        <f t="shared" ca="1" si="102"/>
        <v>#N/A</v>
      </c>
      <c r="AF174" s="286" t="e">
        <f t="shared" ca="1" si="78"/>
        <v>#N/A</v>
      </c>
      <c r="AG174" s="285">
        <f t="shared" si="122"/>
        <v>5.5437116689914241E-4</v>
      </c>
      <c r="AH174" s="99">
        <f t="shared" si="123"/>
        <v>5.5500000000000005E-4</v>
      </c>
      <c r="AI174" s="99">
        <f t="shared" si="103"/>
        <v>0.99604799999999993</v>
      </c>
      <c r="AJ174" s="99" t="e">
        <f t="shared" ca="1" si="124"/>
        <v>#N/A</v>
      </c>
      <c r="AK174" s="161" t="e">
        <f t="shared" ca="1" si="104"/>
        <v>#N/A</v>
      </c>
      <c r="AL174" s="286" t="e">
        <f t="shared" ca="1" si="82"/>
        <v>#N/A</v>
      </c>
      <c r="AM174" s="285">
        <f t="shared" si="125"/>
        <v>5.8103062065188943E-4</v>
      </c>
      <c r="AN174" s="99">
        <f t="shared" si="126"/>
        <v>5.8200000000000005E-4</v>
      </c>
      <c r="AO174" s="99">
        <f t="shared" si="105"/>
        <v>0.99597400000000003</v>
      </c>
      <c r="AP174" s="99" t="e">
        <f t="shared" ca="1" si="127"/>
        <v>#N/A</v>
      </c>
      <c r="AQ174" s="161" t="e">
        <f t="shared" ca="1" si="106"/>
        <v>#N/A</v>
      </c>
      <c r="AR174" s="286" t="e">
        <f t="shared" ca="1" si="86"/>
        <v>#N/A</v>
      </c>
      <c r="AS174" s="285">
        <f t="shared" si="128"/>
        <v>2.0047731805942598E-4</v>
      </c>
      <c r="AT174" s="99">
        <f t="shared" si="129"/>
        <v>2.0100000000000001E-4</v>
      </c>
      <c r="AU174" s="99">
        <f t="shared" si="107"/>
        <v>0.99868600000000007</v>
      </c>
      <c r="AV174" s="99" t="e">
        <f t="shared" ca="1" si="130"/>
        <v>#N/A</v>
      </c>
      <c r="AW174" s="161" t="e">
        <f t="shared" ca="1" si="108"/>
        <v>#N/A</v>
      </c>
      <c r="AX174" s="286" t="e">
        <f t="shared" ca="1" si="90"/>
        <v>#N/A</v>
      </c>
    </row>
    <row r="175" spans="2:50" x14ac:dyDescent="0.25">
      <c r="B175" s="104">
        <f t="shared" si="94"/>
        <v>46</v>
      </c>
      <c r="C175" s="94">
        <v>47</v>
      </c>
      <c r="D175" s="94">
        <f t="shared" si="62"/>
        <v>8.7522292849428077E-5</v>
      </c>
      <c r="E175" s="94">
        <f t="shared" si="111"/>
        <v>8.7999999999999998E-5</v>
      </c>
      <c r="F175" s="94">
        <f t="shared" si="95"/>
        <v>0.99947999999999992</v>
      </c>
      <c r="G175" s="94" t="e">
        <f t="shared" ca="1" si="96"/>
        <v>#N/A</v>
      </c>
      <c r="H175" s="94" t="e">
        <f t="shared" ca="1" si="112"/>
        <v>#N/A</v>
      </c>
      <c r="I175" s="161" t="e">
        <f t="shared" ca="1" si="110"/>
        <v>#N/A</v>
      </c>
      <c r="J175" s="156" t="e">
        <f t="shared" ca="1" si="109"/>
        <v>#N/A</v>
      </c>
      <c r="K175" s="160" t="e">
        <f t="shared" ca="1" si="91"/>
        <v>#N/A</v>
      </c>
      <c r="L175" s="101" t="e">
        <f t="shared" ca="1" si="66"/>
        <v>#N/A</v>
      </c>
      <c r="M175" s="101" t="e">
        <f t="shared" ca="1" si="67"/>
        <v>#N/A</v>
      </c>
      <c r="N175" s="101" t="e">
        <f t="shared" ca="1" si="92"/>
        <v>#N/A</v>
      </c>
      <c r="O175" s="285">
        <f t="shared" si="113"/>
        <v>8.7522292849428077E-5</v>
      </c>
      <c r="P175" s="99">
        <f t="shared" si="114"/>
        <v>8.7999999999999998E-5</v>
      </c>
      <c r="Q175" s="99">
        <f t="shared" si="97"/>
        <v>0.99947999999999992</v>
      </c>
      <c r="R175" s="99" t="e">
        <f t="shared" ca="1" si="115"/>
        <v>#N/A</v>
      </c>
      <c r="S175" s="161" t="e">
        <f t="shared" ca="1" si="98"/>
        <v>#N/A</v>
      </c>
      <c r="T175" s="286" t="e">
        <f t="shared" ca="1" si="71"/>
        <v>#N/A</v>
      </c>
      <c r="U175" s="285">
        <f t="shared" si="116"/>
        <v>6.356576185585655E-7</v>
      </c>
      <c r="V175" s="99">
        <f t="shared" si="117"/>
        <v>9.9999999999999995E-7</v>
      </c>
      <c r="W175" s="99">
        <f t="shared" si="99"/>
        <v>0.99999899999999986</v>
      </c>
      <c r="X175" s="99" t="e">
        <f t="shared" ca="1" si="118"/>
        <v>#N/A</v>
      </c>
      <c r="Y175" s="161" t="e">
        <f t="shared" ca="1" si="100"/>
        <v>#N/A</v>
      </c>
      <c r="Z175" s="286" t="e">
        <f t="shared" ca="1" si="93"/>
        <v>#N/A</v>
      </c>
      <c r="AA175" s="285">
        <f t="shared" si="119"/>
        <v>1.7647811197268851E-3</v>
      </c>
      <c r="AB175" s="99">
        <f t="shared" si="120"/>
        <v>1.789E-3</v>
      </c>
      <c r="AC175" s="99">
        <f t="shared" si="101"/>
        <v>0.98511099999999985</v>
      </c>
      <c r="AD175" s="99" t="e">
        <f t="shared" ca="1" si="121"/>
        <v>#N/A</v>
      </c>
      <c r="AE175" s="161" t="e">
        <f t="shared" ca="1" si="102"/>
        <v>#N/A</v>
      </c>
      <c r="AF175" s="286" t="e">
        <f t="shared" ca="1" si="78"/>
        <v>#N/A</v>
      </c>
      <c r="AG175" s="285">
        <f t="shared" si="122"/>
        <v>4.9901091575900816E-4</v>
      </c>
      <c r="AH175" s="99">
        <f t="shared" si="123"/>
        <v>5.0000000000000001E-4</v>
      </c>
      <c r="AI175" s="99">
        <f t="shared" si="103"/>
        <v>0.99654799999999988</v>
      </c>
      <c r="AJ175" s="99" t="e">
        <f t="shared" ca="1" si="124"/>
        <v>#N/A</v>
      </c>
      <c r="AK175" s="161" t="e">
        <f t="shared" ca="1" si="104"/>
        <v>#N/A</v>
      </c>
      <c r="AL175" s="286" t="e">
        <f t="shared" ca="1" si="82"/>
        <v>#N/A</v>
      </c>
      <c r="AM175" s="285">
        <f t="shared" si="125"/>
        <v>5.2054152665037458E-4</v>
      </c>
      <c r="AN175" s="99">
        <f t="shared" si="126"/>
        <v>5.2099999999999998E-4</v>
      </c>
      <c r="AO175" s="99">
        <f t="shared" si="105"/>
        <v>0.99649500000000002</v>
      </c>
      <c r="AP175" s="99" t="e">
        <f t="shared" ca="1" si="127"/>
        <v>#N/A</v>
      </c>
      <c r="AQ175" s="161" t="e">
        <f t="shared" ca="1" si="106"/>
        <v>#N/A</v>
      </c>
      <c r="AR175" s="286" t="e">
        <f t="shared" ca="1" si="86"/>
        <v>#N/A</v>
      </c>
      <c r="AS175" s="285">
        <f t="shared" si="128"/>
        <v>1.7775177288781446E-4</v>
      </c>
      <c r="AT175" s="99">
        <f t="shared" si="129"/>
        <v>1.7799999999999999E-4</v>
      </c>
      <c r="AU175" s="99">
        <f t="shared" si="107"/>
        <v>0.99886400000000009</v>
      </c>
      <c r="AV175" s="99" t="e">
        <f t="shared" ca="1" si="130"/>
        <v>#N/A</v>
      </c>
      <c r="AW175" s="161" t="e">
        <f t="shared" ca="1" si="108"/>
        <v>#N/A</v>
      </c>
      <c r="AX175" s="286" t="e">
        <f t="shared" ca="1" si="90"/>
        <v>#N/A</v>
      </c>
    </row>
    <row r="176" spans="2:50" x14ac:dyDescent="0.25">
      <c r="B176" s="104">
        <f t="shared" si="94"/>
        <v>47</v>
      </c>
      <c r="C176" s="94">
        <v>48</v>
      </c>
      <c r="D176" s="94">
        <f t="shared" si="62"/>
        <v>7.6646694369294482E-5</v>
      </c>
      <c r="E176" s="94">
        <f t="shared" si="111"/>
        <v>7.7000000000000001E-5</v>
      </c>
      <c r="F176" s="94">
        <f t="shared" si="95"/>
        <v>0.99955699999999992</v>
      </c>
      <c r="G176" s="94" t="e">
        <f t="shared" ca="1" si="96"/>
        <v>#N/A</v>
      </c>
      <c r="H176" s="94" t="e">
        <f t="shared" ca="1" si="112"/>
        <v>#N/A</v>
      </c>
      <c r="I176" s="161" t="e">
        <f t="shared" ca="1" si="110"/>
        <v>#N/A</v>
      </c>
      <c r="J176" s="156" t="e">
        <f t="shared" ca="1" si="109"/>
        <v>#N/A</v>
      </c>
      <c r="K176" s="160" t="e">
        <f t="shared" ca="1" si="91"/>
        <v>#N/A</v>
      </c>
      <c r="L176" s="101" t="e">
        <f t="shared" ca="1" si="66"/>
        <v>#N/A</v>
      </c>
      <c r="M176" s="101" t="e">
        <f t="shared" ca="1" si="67"/>
        <v>#N/A</v>
      </c>
      <c r="N176" s="101" t="e">
        <f t="shared" ca="1" si="92"/>
        <v>#N/A</v>
      </c>
      <c r="O176" s="285">
        <f t="shared" si="113"/>
        <v>7.6646694369294482E-5</v>
      </c>
      <c r="P176" s="99">
        <f t="shared" si="114"/>
        <v>7.7000000000000001E-5</v>
      </c>
      <c r="Q176" s="99">
        <f t="shared" si="97"/>
        <v>0.99955699999999992</v>
      </c>
      <c r="R176" s="99" t="e">
        <f t="shared" ca="1" si="115"/>
        <v>#N/A</v>
      </c>
      <c r="S176" s="161" t="e">
        <f t="shared" ca="1" si="98"/>
        <v>#N/A</v>
      </c>
      <c r="T176" s="286" t="e">
        <f t="shared" ca="1" si="71"/>
        <v>#N/A</v>
      </c>
      <c r="U176" s="285">
        <f t="shared" si="116"/>
        <v>5.1308911351285559E-7</v>
      </c>
      <c r="V176" s="99">
        <f t="shared" si="117"/>
        <v>9.9999999999999995E-7</v>
      </c>
      <c r="W176" s="99">
        <f t="shared" si="99"/>
        <v>0.99999999999999989</v>
      </c>
      <c r="X176" s="99" t="e">
        <f t="shared" ca="1" si="118"/>
        <v>#N/A</v>
      </c>
      <c r="Y176" s="161" t="e">
        <f t="shared" ca="1" si="100"/>
        <v>#N/A</v>
      </c>
      <c r="Z176" s="286" t="e">
        <f t="shared" ca="1" si="93"/>
        <v>#N/A</v>
      </c>
      <c r="AA176" s="285">
        <f t="shared" si="119"/>
        <v>1.643686310354307E-3</v>
      </c>
      <c r="AB176" s="99">
        <f t="shared" si="120"/>
        <v>1.6659999999999999E-3</v>
      </c>
      <c r="AC176" s="99">
        <f t="shared" si="101"/>
        <v>0.98677699999999979</v>
      </c>
      <c r="AD176" s="99" t="e">
        <f t="shared" ca="1" si="121"/>
        <v>#N/A</v>
      </c>
      <c r="AE176" s="161" t="e">
        <f t="shared" ca="1" si="102"/>
        <v>#N/A</v>
      </c>
      <c r="AF176" s="286" t="e">
        <f t="shared" ca="1" si="78"/>
        <v>#N/A</v>
      </c>
      <c r="AG176" s="285">
        <f t="shared" si="122"/>
        <v>4.4970088063734162E-4</v>
      </c>
      <c r="AH176" s="99">
        <f t="shared" si="123"/>
        <v>4.4999999999999999E-4</v>
      </c>
      <c r="AI176" s="99">
        <f t="shared" si="103"/>
        <v>0.99699799999999983</v>
      </c>
      <c r="AJ176" s="99" t="e">
        <f t="shared" ca="1" si="124"/>
        <v>#N/A</v>
      </c>
      <c r="AK176" s="161" t="e">
        <f t="shared" ca="1" si="104"/>
        <v>#N/A</v>
      </c>
      <c r="AL176" s="286" t="e">
        <f t="shared" ca="1" si="82"/>
        <v>#N/A</v>
      </c>
      <c r="AM176" s="285">
        <f t="shared" si="125"/>
        <v>4.6688239861926255E-4</v>
      </c>
      <c r="AN176" s="99">
        <f t="shared" si="126"/>
        <v>4.6799999999999999E-4</v>
      </c>
      <c r="AO176" s="99">
        <f t="shared" si="105"/>
        <v>0.99696300000000004</v>
      </c>
      <c r="AP176" s="99" t="e">
        <f t="shared" ca="1" si="127"/>
        <v>#N/A</v>
      </c>
      <c r="AQ176" s="161" t="e">
        <f t="shared" ca="1" si="106"/>
        <v>#N/A</v>
      </c>
      <c r="AR176" s="286" t="e">
        <f t="shared" ca="1" si="86"/>
        <v>#N/A</v>
      </c>
      <c r="AS176" s="285">
        <f t="shared" si="128"/>
        <v>1.5782715614770973E-4</v>
      </c>
      <c r="AT176" s="99">
        <f t="shared" si="129"/>
        <v>1.5799999999999999E-4</v>
      </c>
      <c r="AU176" s="99">
        <f t="shared" si="107"/>
        <v>0.99902200000000008</v>
      </c>
      <c r="AV176" s="99" t="e">
        <f t="shared" ca="1" si="130"/>
        <v>#N/A</v>
      </c>
      <c r="AW176" s="161" t="e">
        <f t="shared" ca="1" si="108"/>
        <v>#N/A</v>
      </c>
      <c r="AX176" s="286" t="e">
        <f t="shared" ca="1" si="90"/>
        <v>#N/A</v>
      </c>
    </row>
    <row r="177" spans="2:79" x14ac:dyDescent="0.25">
      <c r="B177" s="104">
        <f t="shared" si="94"/>
        <v>48</v>
      </c>
      <c r="C177" s="94">
        <v>49</v>
      </c>
      <c r="D177" s="94">
        <f t="shared" si="62"/>
        <v>6.7227272004677989E-5</v>
      </c>
      <c r="E177" s="94">
        <f t="shared" si="111"/>
        <v>6.7000000000000002E-5</v>
      </c>
      <c r="F177" s="94">
        <f t="shared" si="95"/>
        <v>0.99962399999999996</v>
      </c>
      <c r="G177" s="94" t="e">
        <f t="shared" ca="1" si="96"/>
        <v>#N/A</v>
      </c>
      <c r="H177" s="94" t="e">
        <f t="shared" ca="1" si="112"/>
        <v>#N/A</v>
      </c>
      <c r="I177" s="161" t="e">
        <f t="shared" ca="1" si="110"/>
        <v>#N/A</v>
      </c>
      <c r="J177" s="156" t="e">
        <f t="shared" ca="1" si="109"/>
        <v>#N/A</v>
      </c>
      <c r="K177" s="160" t="e">
        <f t="shared" ca="1" si="91"/>
        <v>#N/A</v>
      </c>
      <c r="L177" s="101" t="e">
        <f t="shared" ca="1" si="66"/>
        <v>#N/A</v>
      </c>
      <c r="M177" s="101" t="e">
        <f t="shared" ca="1" si="67"/>
        <v>#N/A</v>
      </c>
      <c r="N177" s="101" t="e">
        <f t="shared" ca="1" si="92"/>
        <v>#N/A</v>
      </c>
      <c r="O177" s="285">
        <f t="shared" si="113"/>
        <v>6.7227272004677989E-5</v>
      </c>
      <c r="P177" s="99">
        <f t="shared" si="114"/>
        <v>6.7000000000000002E-5</v>
      </c>
      <c r="Q177" s="99">
        <f t="shared" si="97"/>
        <v>0.99962399999999996</v>
      </c>
      <c r="R177" s="99" t="e">
        <f t="shared" ca="1" si="115"/>
        <v>#N/A</v>
      </c>
      <c r="S177" s="161" t="e">
        <f t="shared" ca="1" si="98"/>
        <v>#N/A</v>
      </c>
      <c r="T177" s="286" t="e">
        <f t="shared" ca="1" si="71"/>
        <v>#N/A</v>
      </c>
      <c r="U177" s="285">
        <f t="shared" si="116"/>
        <v>4.1525818422143559E-7</v>
      </c>
      <c r="V177" s="99">
        <f t="shared" si="117"/>
        <v>9.9999999999999995E-7</v>
      </c>
      <c r="W177" s="99">
        <f t="shared" si="99"/>
        <v>1.0000009999999999</v>
      </c>
      <c r="X177" s="99" t="e">
        <f t="shared" ca="1" si="118"/>
        <v>#N/A</v>
      </c>
      <c r="Y177" s="161" t="e">
        <f t="shared" ca="1" si="100"/>
        <v>#N/A</v>
      </c>
      <c r="Z177" s="286" t="e">
        <f t="shared" ca="1" si="93"/>
        <v>#N/A</v>
      </c>
      <c r="AA177" s="285">
        <f t="shared" si="119"/>
        <v>1.5321226026899946E-3</v>
      </c>
      <c r="AB177" s="99">
        <f t="shared" si="120"/>
        <v>1.5529999999999999E-3</v>
      </c>
      <c r="AC177" s="99">
        <f t="shared" si="101"/>
        <v>0.98832999999999982</v>
      </c>
      <c r="AD177" s="99" t="e">
        <f t="shared" ca="1" si="121"/>
        <v>#N/A</v>
      </c>
      <c r="AE177" s="161" t="e">
        <f t="shared" ca="1" si="102"/>
        <v>#N/A</v>
      </c>
      <c r="AF177" s="286" t="e">
        <f t="shared" ca="1" si="78"/>
        <v>#N/A</v>
      </c>
      <c r="AG177" s="285">
        <f t="shared" si="122"/>
        <v>4.0572358512178222E-4</v>
      </c>
      <c r="AH177" s="99">
        <f t="shared" si="123"/>
        <v>4.06E-4</v>
      </c>
      <c r="AI177" s="99">
        <f t="shared" si="103"/>
        <v>0.99740399999999985</v>
      </c>
      <c r="AJ177" s="99" t="e">
        <f t="shared" ca="1" si="124"/>
        <v>#N/A</v>
      </c>
      <c r="AK177" s="161" t="e">
        <f t="shared" ca="1" si="104"/>
        <v>#N/A</v>
      </c>
      <c r="AL177" s="286" t="e">
        <f t="shared" ca="1" si="82"/>
        <v>#N/A</v>
      </c>
      <c r="AM177" s="285">
        <f t="shared" si="125"/>
        <v>4.1922322195960378E-4</v>
      </c>
      <c r="AN177" s="99">
        <f t="shared" si="126"/>
        <v>4.2000000000000002E-4</v>
      </c>
      <c r="AO177" s="99">
        <f t="shared" si="105"/>
        <v>0.99738300000000002</v>
      </c>
      <c r="AP177" s="99" t="e">
        <f t="shared" ca="1" si="127"/>
        <v>#N/A</v>
      </c>
      <c r="AQ177" s="161" t="e">
        <f t="shared" ca="1" si="106"/>
        <v>#N/A</v>
      </c>
      <c r="AR177" s="286" t="e">
        <f t="shared" ca="1" si="86"/>
        <v>#N/A</v>
      </c>
      <c r="AS177" s="285">
        <f t="shared" si="128"/>
        <v>1.4033076680997531E-4</v>
      </c>
      <c r="AT177" s="99">
        <f t="shared" si="129"/>
        <v>1.3999999999999999E-4</v>
      </c>
      <c r="AU177" s="99">
        <f t="shared" si="107"/>
        <v>0.99916200000000011</v>
      </c>
      <c r="AV177" s="99" t="e">
        <f t="shared" ca="1" si="130"/>
        <v>#N/A</v>
      </c>
      <c r="AW177" s="161" t="e">
        <f t="shared" ca="1" si="108"/>
        <v>#N/A</v>
      </c>
      <c r="AX177" s="286" t="e">
        <f t="shared" ca="1" si="90"/>
        <v>#N/A</v>
      </c>
    </row>
    <row r="178" spans="2:79" x14ac:dyDescent="0.25">
      <c r="B178" s="104">
        <f t="shared" si="94"/>
        <v>49</v>
      </c>
      <c r="C178" s="94">
        <v>50</v>
      </c>
      <c r="D178" s="94">
        <f t="shared" si="62"/>
        <v>5.9055141357435776E-5</v>
      </c>
      <c r="E178" s="94">
        <f t="shared" si="111"/>
        <v>5.8999999999999998E-5</v>
      </c>
      <c r="F178" s="94">
        <f t="shared" si="95"/>
        <v>0.99968299999999999</v>
      </c>
      <c r="G178" s="94" t="e">
        <f t="shared" ca="1" si="96"/>
        <v>#N/A</v>
      </c>
      <c r="H178" s="94" t="e">
        <f t="shared" ca="1" si="112"/>
        <v>#N/A</v>
      </c>
      <c r="I178" s="161" t="e">
        <f t="shared" ca="1" si="110"/>
        <v>#N/A</v>
      </c>
      <c r="J178" s="156" t="e">
        <f t="shared" ca="1" si="109"/>
        <v>#N/A</v>
      </c>
      <c r="K178" s="160" t="e">
        <f t="shared" ca="1" si="91"/>
        <v>#N/A</v>
      </c>
      <c r="L178" s="101" t="e">
        <f t="shared" ca="1" si="66"/>
        <v>#N/A</v>
      </c>
      <c r="M178" s="101" t="e">
        <f t="shared" ca="1" si="67"/>
        <v>#N/A</v>
      </c>
      <c r="N178" s="101" t="e">
        <f t="shared" ca="1" si="92"/>
        <v>#N/A</v>
      </c>
      <c r="O178" s="285">
        <f t="shared" si="113"/>
        <v>5.9055141357435776E-5</v>
      </c>
      <c r="P178" s="99">
        <f t="shared" si="114"/>
        <v>5.8999999999999998E-5</v>
      </c>
      <c r="Q178" s="99">
        <f t="shared" si="97"/>
        <v>0.99968299999999999</v>
      </c>
      <c r="R178" s="99" t="e">
        <f t="shared" ca="1" si="115"/>
        <v>#N/A</v>
      </c>
      <c r="S178" s="161" t="e">
        <f t="shared" ca="1" si="98"/>
        <v>#N/A</v>
      </c>
      <c r="T178" s="286" t="e">
        <f t="shared" ca="1" si="71"/>
        <v>#N/A</v>
      </c>
      <c r="U178" s="285">
        <f t="shared" si="116"/>
        <v>3.3695197060836401E-7</v>
      </c>
      <c r="V178" s="99">
        <f t="shared" si="117"/>
        <v>9.9999999999999995E-7</v>
      </c>
      <c r="W178" s="99">
        <f t="shared" si="99"/>
        <v>1.0000019999999998</v>
      </c>
      <c r="X178" s="99" t="e">
        <f t="shared" ca="1" si="118"/>
        <v>#N/A</v>
      </c>
      <c r="Y178" s="161" t="e">
        <f t="shared" ca="1" si="100"/>
        <v>#N/A</v>
      </c>
      <c r="Z178" s="286" t="e">
        <f t="shared" ca="1" si="93"/>
        <v>#N/A</v>
      </c>
      <c r="AA178" s="285">
        <f t="shared" si="119"/>
        <v>1.4292440533123691E-3</v>
      </c>
      <c r="AB178" s="99">
        <f t="shared" si="120"/>
        <v>1.449E-3</v>
      </c>
      <c r="AC178" s="99">
        <f t="shared" si="101"/>
        <v>0.98977899999999985</v>
      </c>
      <c r="AD178" s="99" t="e">
        <f t="shared" ca="1" si="121"/>
        <v>#N/A</v>
      </c>
      <c r="AE178" s="161" t="e">
        <f t="shared" ca="1" si="102"/>
        <v>#N/A</v>
      </c>
      <c r="AF178" s="286" t="e">
        <f t="shared" ca="1" si="78"/>
        <v>#N/A</v>
      </c>
      <c r="AG178" s="285">
        <f t="shared" si="122"/>
        <v>3.6645314999268026E-4</v>
      </c>
      <c r="AH178" s="99">
        <f t="shared" si="123"/>
        <v>3.6699999999999998E-4</v>
      </c>
      <c r="AI178" s="99">
        <f t="shared" si="103"/>
        <v>0.99777099999999985</v>
      </c>
      <c r="AJ178" s="99" t="e">
        <f t="shared" ca="1" si="124"/>
        <v>#N/A</v>
      </c>
      <c r="AK178" s="161" t="e">
        <f t="shared" ca="1" si="104"/>
        <v>#N/A</v>
      </c>
      <c r="AL178" s="286" t="e">
        <f t="shared" ca="1" si="82"/>
        <v>#N/A</v>
      </c>
      <c r="AM178" s="285">
        <f t="shared" si="125"/>
        <v>3.7684175326823896E-4</v>
      </c>
      <c r="AN178" s="99">
        <f t="shared" si="126"/>
        <v>3.77E-4</v>
      </c>
      <c r="AO178" s="99">
        <f t="shared" si="105"/>
        <v>0.99775999999999998</v>
      </c>
      <c r="AP178" s="99" t="e">
        <f t="shared" ca="1" si="127"/>
        <v>#N/A</v>
      </c>
      <c r="AQ178" s="161" t="e">
        <f t="shared" ca="1" si="106"/>
        <v>#N/A</v>
      </c>
      <c r="AR178" s="286" t="e">
        <f t="shared" ca="1" si="86"/>
        <v>#N/A</v>
      </c>
      <c r="AS178" s="285">
        <f t="shared" si="128"/>
        <v>1.2494310279752971E-4</v>
      </c>
      <c r="AT178" s="99">
        <f t="shared" si="129"/>
        <v>1.25E-4</v>
      </c>
      <c r="AU178" s="99">
        <f t="shared" si="107"/>
        <v>0.99928700000000015</v>
      </c>
      <c r="AV178" s="99" t="e">
        <f t="shared" ca="1" si="130"/>
        <v>#N/A</v>
      </c>
      <c r="AW178" s="161" t="e">
        <f t="shared" ca="1" si="108"/>
        <v>#N/A</v>
      </c>
      <c r="AX178" s="286" t="e">
        <f t="shared" ca="1" si="90"/>
        <v>#N/A</v>
      </c>
    </row>
    <row r="179" spans="2:79" x14ac:dyDescent="0.25">
      <c r="B179" s="104">
        <f t="shared" si="94"/>
        <v>50</v>
      </c>
      <c r="C179" s="94">
        <v>51</v>
      </c>
      <c r="D179" s="94">
        <f t="shared" si="62"/>
        <v>5.1953351781703196E-5</v>
      </c>
      <c r="E179" s="94">
        <f t="shared" si="111"/>
        <v>5.1999999999999997E-5</v>
      </c>
      <c r="F179" s="94">
        <f t="shared" si="95"/>
        <v>0.99973500000000004</v>
      </c>
      <c r="G179" s="94" t="e">
        <f t="shared" ca="1" si="96"/>
        <v>#N/A</v>
      </c>
      <c r="H179" s="94" t="e">
        <f t="shared" ca="1" si="112"/>
        <v>#N/A</v>
      </c>
      <c r="I179" s="161" t="e">
        <f t="shared" ca="1" si="110"/>
        <v>#N/A</v>
      </c>
      <c r="J179" s="156" t="e">
        <f t="shared" ca="1" si="109"/>
        <v>#N/A</v>
      </c>
      <c r="K179" s="160" t="e">
        <f t="shared" ca="1" si="91"/>
        <v>#N/A</v>
      </c>
      <c r="L179" s="101" t="e">
        <f t="shared" ca="1" si="66"/>
        <v>#N/A</v>
      </c>
      <c r="M179" s="101" t="e">
        <f t="shared" ca="1" si="67"/>
        <v>#N/A</v>
      </c>
      <c r="N179" s="101" t="e">
        <f t="shared" ca="1" si="92"/>
        <v>#N/A</v>
      </c>
      <c r="O179" s="285">
        <f t="shared" si="113"/>
        <v>5.1953351781703196E-5</v>
      </c>
      <c r="P179" s="99">
        <f t="shared" si="114"/>
        <v>5.1999999999999997E-5</v>
      </c>
      <c r="Q179" s="99">
        <f t="shared" si="97"/>
        <v>0.99973500000000004</v>
      </c>
      <c r="R179" s="99" t="e">
        <f t="shared" ca="1" si="115"/>
        <v>#N/A</v>
      </c>
      <c r="S179" s="161" t="e">
        <f t="shared" ca="1" si="98"/>
        <v>#N/A</v>
      </c>
      <c r="T179" s="286" t="e">
        <f t="shared" ca="1" si="71"/>
        <v>#N/A</v>
      </c>
      <c r="U179" s="285">
        <f t="shared" si="116"/>
        <v>2.7410187959883153E-7</v>
      </c>
      <c r="V179" s="99">
        <f t="shared" si="117"/>
        <v>9.9999999999999995E-7</v>
      </c>
      <c r="W179" s="99">
        <f t="shared" si="99"/>
        <v>1.0000029999999998</v>
      </c>
      <c r="X179" s="99" t="e">
        <f t="shared" ca="1" si="118"/>
        <v>#N/A</v>
      </c>
      <c r="Y179" s="161" t="e">
        <f t="shared" ca="1" si="100"/>
        <v>#N/A</v>
      </c>
      <c r="Z179" s="286" t="e">
        <f t="shared" ca="1" si="93"/>
        <v>#N/A</v>
      </c>
      <c r="AA179" s="285">
        <f t="shared" si="119"/>
        <v>1.3342881265058534E-3</v>
      </c>
      <c r="AB179" s="99">
        <f t="shared" si="120"/>
        <v>1.353E-3</v>
      </c>
      <c r="AC179" s="99">
        <f t="shared" si="101"/>
        <v>0.9911319999999999</v>
      </c>
      <c r="AD179" s="99" t="e">
        <f t="shared" ca="1" si="121"/>
        <v>#N/A</v>
      </c>
      <c r="AE179" s="161" t="e">
        <f t="shared" ca="1" si="102"/>
        <v>#N/A</v>
      </c>
      <c r="AF179" s="286" t="e">
        <f t="shared" ca="1" si="78"/>
        <v>#N/A</v>
      </c>
      <c r="AG179" s="285">
        <f t="shared" si="122"/>
        <v>3.313427969764005E-4</v>
      </c>
      <c r="AH179" s="99">
        <f t="shared" si="123"/>
        <v>3.3199999999999999E-4</v>
      </c>
      <c r="AI179" s="99">
        <f t="shared" si="103"/>
        <v>0.99810299999999985</v>
      </c>
      <c r="AJ179" s="99" t="e">
        <f t="shared" ca="1" si="124"/>
        <v>#N/A</v>
      </c>
      <c r="AK179" s="161" t="e">
        <f t="shared" ca="1" si="104"/>
        <v>#N/A</v>
      </c>
      <c r="AL179" s="286" t="e">
        <f t="shared" ca="1" si="82"/>
        <v>#N/A</v>
      </c>
      <c r="AM179" s="285">
        <f t="shared" si="125"/>
        <v>3.3910867561748082E-4</v>
      </c>
      <c r="AN179" s="99">
        <f t="shared" si="126"/>
        <v>3.4000000000000002E-4</v>
      </c>
      <c r="AO179" s="99">
        <f t="shared" si="105"/>
        <v>0.99809999999999999</v>
      </c>
      <c r="AP179" s="99" t="e">
        <f t="shared" ca="1" si="127"/>
        <v>#N/A</v>
      </c>
      <c r="AQ179" s="161" t="e">
        <f t="shared" ca="1" si="106"/>
        <v>#N/A</v>
      </c>
      <c r="AR179" s="286" t="e">
        <f t="shared" ca="1" si="86"/>
        <v>#N/A</v>
      </c>
      <c r="AS179" s="285">
        <f t="shared" si="128"/>
        <v>1.1138976292554754E-4</v>
      </c>
      <c r="AT179" s="99">
        <f t="shared" si="129"/>
        <v>1.11E-4</v>
      </c>
      <c r="AU179" s="99">
        <f t="shared" si="107"/>
        <v>0.99939800000000012</v>
      </c>
      <c r="AV179" s="99" t="e">
        <f t="shared" ca="1" si="130"/>
        <v>#N/A</v>
      </c>
      <c r="AW179" s="161" t="e">
        <f t="shared" ca="1" si="108"/>
        <v>#N/A</v>
      </c>
      <c r="AX179" s="286" t="e">
        <f t="shared" ca="1" si="90"/>
        <v>#N/A</v>
      </c>
    </row>
    <row r="180" spans="2:79" x14ac:dyDescent="0.25">
      <c r="B180" s="104">
        <f t="shared" si="94"/>
        <v>51</v>
      </c>
      <c r="C180" s="94">
        <v>52</v>
      </c>
      <c r="D180" s="94">
        <f t="shared" si="62"/>
        <v>4.5771708486074217E-5</v>
      </c>
      <c r="E180" s="94">
        <f t="shared" si="111"/>
        <v>4.6E-5</v>
      </c>
      <c r="F180" s="94">
        <f t="shared" si="95"/>
        <v>0.99978100000000003</v>
      </c>
      <c r="G180" s="94" t="e">
        <f t="shared" ca="1" si="96"/>
        <v>#N/A</v>
      </c>
      <c r="H180" s="94" t="e">
        <f t="shared" ca="1" si="112"/>
        <v>#N/A</v>
      </c>
      <c r="I180" s="161" t="e">
        <f t="shared" ca="1" si="110"/>
        <v>#N/A</v>
      </c>
      <c r="J180" s="156" t="e">
        <f t="shared" ca="1" si="109"/>
        <v>#N/A</v>
      </c>
      <c r="K180" s="160" t="e">
        <f t="shared" ca="1" si="91"/>
        <v>#N/A</v>
      </c>
      <c r="L180" s="101" t="e">
        <f t="shared" ca="1" si="66"/>
        <v>#N/A</v>
      </c>
      <c r="M180" s="101" t="e">
        <f t="shared" ca="1" si="67"/>
        <v>#N/A</v>
      </c>
      <c r="N180" s="101" t="e">
        <f t="shared" ca="1" si="92"/>
        <v>#N/A</v>
      </c>
      <c r="O180" s="285">
        <f t="shared" si="113"/>
        <v>4.5771708486074217E-5</v>
      </c>
      <c r="P180" s="99">
        <f t="shared" si="114"/>
        <v>4.6E-5</v>
      </c>
      <c r="Q180" s="99">
        <f t="shared" si="97"/>
        <v>0.99978100000000003</v>
      </c>
      <c r="R180" s="99" t="e">
        <f t="shared" ca="1" si="115"/>
        <v>#N/A</v>
      </c>
      <c r="S180" s="161" t="e">
        <f t="shared" ca="1" si="98"/>
        <v>#N/A</v>
      </c>
      <c r="T180" s="286" t="e">
        <f t="shared" ca="1" si="71"/>
        <v>#N/A</v>
      </c>
      <c r="U180" s="285">
        <f t="shared" si="116"/>
        <v>2.2352250708884594E-7</v>
      </c>
      <c r="V180" s="99">
        <f t="shared" si="117"/>
        <v>9.9999999999999995E-7</v>
      </c>
      <c r="W180" s="99">
        <f t="shared" si="99"/>
        <v>1.0000039999999997</v>
      </c>
      <c r="X180" s="99" t="e">
        <f t="shared" ca="1" si="118"/>
        <v>#N/A</v>
      </c>
      <c r="Y180" s="161" t="e">
        <f t="shared" ca="1" si="100"/>
        <v>#N/A</v>
      </c>
      <c r="Z180" s="286" t="e">
        <f t="shared" ca="1" si="93"/>
        <v>#N/A</v>
      </c>
      <c r="AA180" s="285">
        <f t="shared" si="119"/>
        <v>1.246566681355186E-3</v>
      </c>
      <c r="AB180" s="99">
        <f t="shared" si="120"/>
        <v>1.2639999999999999E-3</v>
      </c>
      <c r="AC180" s="99">
        <f t="shared" si="101"/>
        <v>0.99239599999999994</v>
      </c>
      <c r="AD180" s="99" t="e">
        <f t="shared" ca="1" si="121"/>
        <v>#N/A</v>
      </c>
      <c r="AE180" s="161" t="e">
        <f t="shared" ca="1" si="102"/>
        <v>#N/A</v>
      </c>
      <c r="AF180" s="286" t="e">
        <f t="shared" ca="1" si="78"/>
        <v>#N/A</v>
      </c>
      <c r="AG180" s="285">
        <f t="shared" si="122"/>
        <v>2.9991416138602794E-4</v>
      </c>
      <c r="AH180" s="99">
        <f t="shared" si="123"/>
        <v>2.9999999999999997E-4</v>
      </c>
      <c r="AI180" s="99">
        <f t="shared" si="103"/>
        <v>0.99840299999999982</v>
      </c>
      <c r="AJ180" s="99" t="e">
        <f t="shared" ca="1" si="124"/>
        <v>#N/A</v>
      </c>
      <c r="AK180" s="161" t="e">
        <f t="shared" ca="1" si="104"/>
        <v>#N/A</v>
      </c>
      <c r="AL180" s="286" t="e">
        <f t="shared" ca="1" si="82"/>
        <v>#N/A</v>
      </c>
      <c r="AM180" s="285">
        <f t="shared" si="125"/>
        <v>3.0547490742817435E-4</v>
      </c>
      <c r="AN180" s="99">
        <f t="shared" si="126"/>
        <v>3.0600000000000001E-4</v>
      </c>
      <c r="AO180" s="99">
        <f t="shared" si="105"/>
        <v>0.99840600000000002</v>
      </c>
      <c r="AP180" s="99" t="e">
        <f t="shared" ca="1" si="127"/>
        <v>#N/A</v>
      </c>
      <c r="AQ180" s="161" t="e">
        <f t="shared" ca="1" si="106"/>
        <v>#N/A</v>
      </c>
      <c r="AR180" s="286" t="e">
        <f t="shared" ca="1" si="86"/>
        <v>#N/A</v>
      </c>
      <c r="AS180" s="285">
        <f t="shared" si="128"/>
        <v>9.9434656347357226E-5</v>
      </c>
      <c r="AT180" s="99">
        <f t="shared" si="129"/>
        <v>9.8999999999999994E-5</v>
      </c>
      <c r="AU180" s="99">
        <f t="shared" si="107"/>
        <v>0.99949700000000008</v>
      </c>
      <c r="AV180" s="99" t="e">
        <f t="shared" ca="1" si="130"/>
        <v>#N/A</v>
      </c>
      <c r="AW180" s="161" t="e">
        <f t="shared" ca="1" si="108"/>
        <v>#N/A</v>
      </c>
      <c r="AX180" s="286" t="e">
        <f t="shared" ca="1" si="90"/>
        <v>#N/A</v>
      </c>
    </row>
    <row r="181" spans="2:79" x14ac:dyDescent="0.25">
      <c r="B181" s="104">
        <f t="shared" si="94"/>
        <v>52</v>
      </c>
      <c r="C181" s="94">
        <v>53</v>
      </c>
      <c r="D181" s="94">
        <f t="shared" si="62"/>
        <v>4.038248114819377E-5</v>
      </c>
      <c r="E181" s="94">
        <f t="shared" si="111"/>
        <v>4.0000000000000003E-5</v>
      </c>
      <c r="F181" s="94">
        <f t="shared" si="95"/>
        <v>0.99982100000000007</v>
      </c>
      <c r="G181" s="94" t="e">
        <f t="shared" ca="1" si="96"/>
        <v>#N/A</v>
      </c>
      <c r="H181" s="94" t="e">
        <f t="shared" ca="1" si="112"/>
        <v>#N/A</v>
      </c>
      <c r="I181" s="161" t="e">
        <f t="shared" ca="1" si="110"/>
        <v>#N/A</v>
      </c>
      <c r="J181" s="156" t="e">
        <f t="shared" ca="1" si="109"/>
        <v>#N/A</v>
      </c>
      <c r="K181" s="160" t="e">
        <f t="shared" ca="1" si="91"/>
        <v>#N/A</v>
      </c>
      <c r="L181" s="101" t="e">
        <f t="shared" ca="1" si="66"/>
        <v>#N/A</v>
      </c>
      <c r="M181" s="101" t="e">
        <f t="shared" ca="1" si="67"/>
        <v>#N/A</v>
      </c>
      <c r="N181" s="101" t="e">
        <f t="shared" ca="1" si="92"/>
        <v>#N/A</v>
      </c>
      <c r="O181" s="285">
        <f t="shared" si="113"/>
        <v>4.038248114819377E-5</v>
      </c>
      <c r="P181" s="99">
        <f t="shared" si="114"/>
        <v>4.0000000000000003E-5</v>
      </c>
      <c r="Q181" s="99">
        <f t="shared" si="97"/>
        <v>0.99982100000000007</v>
      </c>
      <c r="R181" s="99" t="e">
        <f t="shared" ca="1" si="115"/>
        <v>#N/A</v>
      </c>
      <c r="S181" s="161" t="e">
        <f t="shared" ca="1" si="98"/>
        <v>#N/A</v>
      </c>
      <c r="T181" s="286" t="e">
        <f t="shared" ca="1" si="71"/>
        <v>#N/A</v>
      </c>
      <c r="U181" s="285">
        <f t="shared" si="116"/>
        <v>1.8271235104448112E-7</v>
      </c>
      <c r="V181" s="99">
        <f t="shared" si="117"/>
        <v>9.9999999999999995E-7</v>
      </c>
      <c r="W181" s="99">
        <f t="shared" si="99"/>
        <v>1.0000049999999996</v>
      </c>
      <c r="X181" s="99" t="e">
        <f t="shared" ca="1" si="118"/>
        <v>#N/A</v>
      </c>
      <c r="Y181" s="161" t="e">
        <f t="shared" ca="1" si="100"/>
        <v>#N/A</v>
      </c>
      <c r="Z181" s="286" t="e">
        <f t="shared" ca="1" si="93"/>
        <v>#N/A</v>
      </c>
      <c r="AA181" s="285">
        <f t="shared" si="119"/>
        <v>1.1654580128036783E-3</v>
      </c>
      <c r="AB181" s="99">
        <f t="shared" si="120"/>
        <v>1.181E-3</v>
      </c>
      <c r="AC181" s="99">
        <f t="shared" si="101"/>
        <v>0.99357699999999993</v>
      </c>
      <c r="AD181" s="99" t="e">
        <f t="shared" ca="1" si="121"/>
        <v>#N/A</v>
      </c>
      <c r="AE181" s="161" t="e">
        <f t="shared" ca="1" si="102"/>
        <v>#N/A</v>
      </c>
      <c r="AF181" s="286" t="e">
        <f t="shared" ca="1" si="78"/>
        <v>#N/A</v>
      </c>
      <c r="AG181" s="285">
        <f t="shared" si="122"/>
        <v>2.7174813777555088E-4</v>
      </c>
      <c r="AH181" s="99">
        <f t="shared" si="123"/>
        <v>2.72E-4</v>
      </c>
      <c r="AI181" s="99">
        <f t="shared" si="103"/>
        <v>0.99867499999999987</v>
      </c>
      <c r="AJ181" s="99" t="e">
        <f t="shared" ca="1" si="124"/>
        <v>#N/A</v>
      </c>
      <c r="AK181" s="161" t="e">
        <f t="shared" ca="1" si="104"/>
        <v>#N/A</v>
      </c>
      <c r="AL181" s="286" t="e">
        <f t="shared" ca="1" si="82"/>
        <v>#N/A</v>
      </c>
      <c r="AM181" s="285">
        <f t="shared" si="125"/>
        <v>2.7546073838424171E-4</v>
      </c>
      <c r="AN181" s="99">
        <f t="shared" si="126"/>
        <v>2.7599999999999999E-4</v>
      </c>
      <c r="AO181" s="99">
        <f t="shared" si="105"/>
        <v>0.99868200000000007</v>
      </c>
      <c r="AP181" s="99" t="e">
        <f t="shared" ca="1" si="127"/>
        <v>#N/A</v>
      </c>
      <c r="AQ181" s="161" t="e">
        <f t="shared" ca="1" si="106"/>
        <v>#N/A</v>
      </c>
      <c r="AR181" s="286" t="e">
        <f t="shared" ca="1" si="86"/>
        <v>#N/A</v>
      </c>
      <c r="AS181" s="285">
        <f t="shared" si="128"/>
        <v>8.8874296714957566E-5</v>
      </c>
      <c r="AT181" s="99">
        <f t="shared" si="129"/>
        <v>8.8999999999999995E-5</v>
      </c>
      <c r="AU181" s="99">
        <f t="shared" si="107"/>
        <v>0.99958600000000009</v>
      </c>
      <c r="AV181" s="99" t="e">
        <f t="shared" ca="1" si="130"/>
        <v>#N/A</v>
      </c>
      <c r="AW181" s="161" t="e">
        <f t="shared" ca="1" si="108"/>
        <v>#N/A</v>
      </c>
      <c r="AX181" s="286" t="e">
        <f t="shared" ca="1" si="90"/>
        <v>#N/A</v>
      </c>
    </row>
    <row r="182" spans="2:79" x14ac:dyDescent="0.25">
      <c r="B182" s="104">
        <f t="shared" si="94"/>
        <v>53</v>
      </c>
      <c r="C182" s="94">
        <v>54</v>
      </c>
      <c r="D182" s="94">
        <f t="shared" si="62"/>
        <v>3.5676839436558149E-5</v>
      </c>
      <c r="E182" s="94">
        <f t="shared" si="111"/>
        <v>3.6000000000000001E-5</v>
      </c>
      <c r="F182" s="94">
        <f t="shared" si="95"/>
        <v>0.99985700000000011</v>
      </c>
      <c r="G182" s="94" t="e">
        <f t="shared" ca="1" si="96"/>
        <v>#N/A</v>
      </c>
      <c r="H182" s="94" t="e">
        <f t="shared" ca="1" si="112"/>
        <v>#N/A</v>
      </c>
      <c r="I182" s="161" t="e">
        <f t="shared" ca="1" si="110"/>
        <v>#N/A</v>
      </c>
      <c r="J182" s="156" t="e">
        <f t="shared" ca="1" si="109"/>
        <v>#N/A</v>
      </c>
      <c r="K182" s="160" t="e">
        <f t="shared" ca="1" si="91"/>
        <v>#N/A</v>
      </c>
      <c r="L182" s="101" t="e">
        <f t="shared" ca="1" si="66"/>
        <v>#N/A</v>
      </c>
      <c r="M182" s="101" t="e">
        <f t="shared" ca="1" si="67"/>
        <v>#N/A</v>
      </c>
      <c r="N182" s="101" t="e">
        <f t="shared" ca="1" si="92"/>
        <v>#N/A</v>
      </c>
      <c r="O182" s="285">
        <f t="shared" si="113"/>
        <v>3.5676839436558149E-5</v>
      </c>
      <c r="P182" s="99">
        <f t="shared" si="114"/>
        <v>3.6000000000000001E-5</v>
      </c>
      <c r="Q182" s="99">
        <f t="shared" si="97"/>
        <v>0.99985700000000011</v>
      </c>
      <c r="R182" s="99" t="e">
        <f t="shared" ca="1" si="115"/>
        <v>#N/A</v>
      </c>
      <c r="S182" s="161" t="e">
        <f t="shared" ca="1" si="98"/>
        <v>#N/A</v>
      </c>
      <c r="T182" s="286" t="e">
        <f t="shared" ca="1" si="71"/>
        <v>#N/A</v>
      </c>
      <c r="U182" s="285">
        <f t="shared" si="116"/>
        <v>1.4970117409904668E-7</v>
      </c>
      <c r="V182" s="99">
        <f t="shared" si="117"/>
        <v>9.9999999999999995E-7</v>
      </c>
      <c r="W182" s="99">
        <f t="shared" si="99"/>
        <v>1.0000059999999995</v>
      </c>
      <c r="X182" s="99" t="e">
        <f t="shared" ca="1" si="118"/>
        <v>#N/A</v>
      </c>
      <c r="Y182" s="161" t="e">
        <f t="shared" ca="1" si="100"/>
        <v>#N/A</v>
      </c>
      <c r="Z182" s="286" t="e">
        <f t="shared" ca="1" si="93"/>
        <v>#N/A</v>
      </c>
      <c r="AA182" s="285">
        <f t="shared" si="119"/>
        <v>1.0903998149508402E-3</v>
      </c>
      <c r="AB182" s="99">
        <f t="shared" si="120"/>
        <v>1.1050000000000001E-3</v>
      </c>
      <c r="AC182" s="99">
        <f t="shared" si="101"/>
        <v>0.99468199999999996</v>
      </c>
      <c r="AD182" s="99" t="e">
        <f t="shared" ca="1" si="121"/>
        <v>#N/A</v>
      </c>
      <c r="AE182" s="161" t="e">
        <f t="shared" ca="1" si="102"/>
        <v>#N/A</v>
      </c>
      <c r="AF182" s="286" t="e">
        <f t="shared" ca="1" si="78"/>
        <v>#N/A</v>
      </c>
      <c r="AG182" s="285">
        <f t="shared" si="122"/>
        <v>2.4647702673683371E-4</v>
      </c>
      <c r="AH182" s="99">
        <f t="shared" si="123"/>
        <v>2.4699999999999999E-4</v>
      </c>
      <c r="AI182" s="99">
        <f t="shared" si="103"/>
        <v>0.99892199999999987</v>
      </c>
      <c r="AJ182" s="99" t="e">
        <f t="shared" ca="1" si="124"/>
        <v>#N/A</v>
      </c>
      <c r="AK182" s="161" t="e">
        <f t="shared" ca="1" si="104"/>
        <v>#N/A</v>
      </c>
      <c r="AL182" s="286" t="e">
        <f t="shared" ca="1" si="82"/>
        <v>#N/A</v>
      </c>
      <c r="AM182" s="285">
        <f t="shared" si="125"/>
        <v>2.486465171408115E-4</v>
      </c>
      <c r="AN182" s="99">
        <f t="shared" si="126"/>
        <v>2.4899999999999998E-4</v>
      </c>
      <c r="AO182" s="99">
        <f t="shared" si="105"/>
        <v>0.99893100000000012</v>
      </c>
      <c r="AP182" s="99" t="e">
        <f t="shared" ca="1" si="127"/>
        <v>#N/A</v>
      </c>
      <c r="AQ182" s="161" t="e">
        <f t="shared" ca="1" si="106"/>
        <v>#N/A</v>
      </c>
      <c r="AR182" s="286" t="e">
        <f t="shared" ca="1" si="86"/>
        <v>#N/A</v>
      </c>
      <c r="AS182" s="285">
        <f t="shared" si="128"/>
        <v>7.9532998134948862E-5</v>
      </c>
      <c r="AT182" s="99">
        <f t="shared" si="129"/>
        <v>8.0000000000000007E-5</v>
      </c>
      <c r="AU182" s="99">
        <f t="shared" si="107"/>
        <v>0.99966600000000005</v>
      </c>
      <c r="AV182" s="99" t="e">
        <f t="shared" ca="1" si="130"/>
        <v>#N/A</v>
      </c>
      <c r="AW182" s="161" t="e">
        <f t="shared" ca="1" si="108"/>
        <v>#N/A</v>
      </c>
      <c r="AX182" s="286" t="e">
        <f t="shared" ca="1" si="90"/>
        <v>#N/A</v>
      </c>
    </row>
    <row r="183" spans="2:79" x14ac:dyDescent="0.25">
      <c r="B183" s="104">
        <f t="shared" si="94"/>
        <v>54</v>
      </c>
      <c r="C183" s="94">
        <v>55</v>
      </c>
      <c r="D183" s="94">
        <f t="shared" si="62"/>
        <v>3.1561885933360959E-5</v>
      </c>
      <c r="E183" s="94">
        <f t="shared" si="111"/>
        <v>3.1999999999999999E-5</v>
      </c>
      <c r="F183" s="94">
        <f t="shared" si="95"/>
        <v>0.99988900000000014</v>
      </c>
      <c r="G183" s="94" t="e">
        <f t="shared" ca="1" si="96"/>
        <v>#N/A</v>
      </c>
      <c r="H183" s="94" t="e">
        <f t="shared" ca="1" si="112"/>
        <v>#N/A</v>
      </c>
      <c r="I183" s="161" t="e">
        <f t="shared" ca="1" si="110"/>
        <v>#N/A</v>
      </c>
      <c r="J183" s="156" t="e">
        <f t="shared" ca="1" si="109"/>
        <v>#N/A</v>
      </c>
      <c r="K183" s="160" t="e">
        <f t="shared" ca="1" si="91"/>
        <v>#N/A</v>
      </c>
      <c r="L183" s="101" t="e">
        <f t="shared" ca="1" si="66"/>
        <v>#N/A</v>
      </c>
      <c r="M183" s="101" t="e">
        <f t="shared" ca="1" si="67"/>
        <v>#N/A</v>
      </c>
      <c r="N183" s="101" t="e">
        <f t="shared" ca="1" si="92"/>
        <v>#N/A</v>
      </c>
      <c r="O183" s="285">
        <f t="shared" si="113"/>
        <v>3.1561885933360959E-5</v>
      </c>
      <c r="P183" s="99">
        <f t="shared" si="114"/>
        <v>3.1999999999999999E-5</v>
      </c>
      <c r="Q183" s="99">
        <f t="shared" si="97"/>
        <v>0.99988900000000014</v>
      </c>
      <c r="R183" s="99" t="e">
        <f t="shared" ca="1" si="115"/>
        <v>#N/A</v>
      </c>
      <c r="S183" s="161" t="e">
        <f t="shared" ca="1" si="98"/>
        <v>#N/A</v>
      </c>
      <c r="T183" s="286" t="e">
        <f t="shared" ca="1" si="71"/>
        <v>#N/A</v>
      </c>
      <c r="U183" s="285">
        <f t="shared" si="116"/>
        <v>1.2293270878925832E-7</v>
      </c>
      <c r="V183" s="99">
        <f t="shared" si="117"/>
        <v>9.9999999999999995E-7</v>
      </c>
      <c r="W183" s="99">
        <f t="shared" si="99"/>
        <v>1.0000069999999994</v>
      </c>
      <c r="X183" s="99" t="e">
        <f t="shared" ca="1" si="118"/>
        <v>#N/A</v>
      </c>
      <c r="Y183" s="161" t="e">
        <f t="shared" ca="1" si="100"/>
        <v>#N/A</v>
      </c>
      <c r="Z183" s="286" t="e">
        <f t="shared" ca="1" si="93"/>
        <v>#N/A</v>
      </c>
      <c r="AA183" s="285">
        <f t="shared" si="119"/>
        <v>1.0208829522263682E-3</v>
      </c>
      <c r="AB183" s="99">
        <f t="shared" si="120"/>
        <v>1.0349999999999999E-3</v>
      </c>
      <c r="AC183" s="99">
        <f t="shared" si="101"/>
        <v>0.99571699999999996</v>
      </c>
      <c r="AD183" s="99" t="e">
        <f t="shared" ca="1" si="121"/>
        <v>#N/A</v>
      </c>
      <c r="AE183" s="161" t="e">
        <f t="shared" ca="1" si="102"/>
        <v>#N/A</v>
      </c>
      <c r="AF183" s="286" t="e">
        <f t="shared" ca="1" si="78"/>
        <v>#N/A</v>
      </c>
      <c r="AG183" s="285">
        <f t="shared" si="122"/>
        <v>2.2377778769097617E-4</v>
      </c>
      <c r="AH183" s="99">
        <f t="shared" si="123"/>
        <v>2.24E-4</v>
      </c>
      <c r="AI183" s="99">
        <f t="shared" si="103"/>
        <v>0.99914599999999987</v>
      </c>
      <c r="AJ183" s="99" t="e">
        <f t="shared" ca="1" si="124"/>
        <v>#N/A</v>
      </c>
      <c r="AK183" s="161" t="e">
        <f t="shared" ca="1" si="104"/>
        <v>#N/A</v>
      </c>
      <c r="AL183" s="286" t="e">
        <f t="shared" ca="1" si="82"/>
        <v>#N/A</v>
      </c>
      <c r="AM183" s="285">
        <f t="shared" si="125"/>
        <v>2.2466465862100481E-4</v>
      </c>
      <c r="AN183" s="99">
        <f t="shared" si="126"/>
        <v>2.2499999999999999E-4</v>
      </c>
      <c r="AO183" s="99">
        <f t="shared" si="105"/>
        <v>0.99915600000000016</v>
      </c>
      <c r="AP183" s="99" t="e">
        <f t="shared" ca="1" si="127"/>
        <v>#N/A</v>
      </c>
      <c r="AQ183" s="161" t="e">
        <f t="shared" ca="1" si="106"/>
        <v>#N/A</v>
      </c>
      <c r="AR183" s="286" t="e">
        <f t="shared" ca="1" si="86"/>
        <v>#N/A</v>
      </c>
      <c r="AS183" s="285">
        <f t="shared" si="128"/>
        <v>7.1258822412456388E-5</v>
      </c>
      <c r="AT183" s="99">
        <f t="shared" si="129"/>
        <v>7.1000000000000005E-5</v>
      </c>
      <c r="AU183" s="99">
        <f t="shared" si="107"/>
        <v>0.9997370000000001</v>
      </c>
      <c r="AV183" s="99" t="e">
        <f t="shared" ca="1" si="130"/>
        <v>#N/A</v>
      </c>
      <c r="AW183" s="161" t="e">
        <f t="shared" ca="1" si="108"/>
        <v>#N/A</v>
      </c>
      <c r="AX183" s="286" t="e">
        <f t="shared" ca="1" si="90"/>
        <v>#N/A</v>
      </c>
    </row>
    <row r="184" spans="2:79" x14ac:dyDescent="0.25">
      <c r="B184" s="104">
        <f t="shared" si="94"/>
        <v>55</v>
      </c>
      <c r="C184" s="94">
        <v>56</v>
      </c>
      <c r="D184" s="94">
        <f t="shared" si="62"/>
        <v>2.7958181127500828E-5</v>
      </c>
      <c r="E184" s="94">
        <f t="shared" si="111"/>
        <v>2.8E-5</v>
      </c>
      <c r="F184" s="94">
        <f t="shared" si="95"/>
        <v>0.99991700000000017</v>
      </c>
      <c r="G184" s="94" t="e">
        <f t="shared" ca="1" si="96"/>
        <v>#N/A</v>
      </c>
      <c r="H184" s="94" t="e">
        <f t="shared" ca="1" si="112"/>
        <v>#N/A</v>
      </c>
      <c r="I184" s="161" t="e">
        <f t="shared" ca="1" si="110"/>
        <v>#N/A</v>
      </c>
      <c r="J184" s="156" t="e">
        <f t="shared" ca="1" si="109"/>
        <v>#N/A</v>
      </c>
      <c r="K184" s="160" t="e">
        <f t="shared" ca="1" si="91"/>
        <v>#N/A</v>
      </c>
      <c r="L184" s="101" t="e">
        <f t="shared" ca="1" si="66"/>
        <v>#N/A</v>
      </c>
      <c r="M184" s="101" t="e">
        <f t="shared" ca="1" si="67"/>
        <v>#N/A</v>
      </c>
      <c r="N184" s="101" t="e">
        <f t="shared" ca="1" si="92"/>
        <v>#N/A</v>
      </c>
      <c r="O184" s="285">
        <f t="shared" si="113"/>
        <v>2.7958181127500828E-5</v>
      </c>
      <c r="P184" s="99">
        <f t="shared" si="114"/>
        <v>2.8E-5</v>
      </c>
      <c r="Q184" s="99">
        <f t="shared" si="97"/>
        <v>0.99991700000000017</v>
      </c>
      <c r="R184" s="99" t="e">
        <f t="shared" ca="1" si="115"/>
        <v>#N/A</v>
      </c>
      <c r="S184" s="161" t="e">
        <f t="shared" ca="1" si="98"/>
        <v>#N/A</v>
      </c>
      <c r="T184" s="286" t="e">
        <f t="shared" ca="1" si="71"/>
        <v>#N/A</v>
      </c>
      <c r="U184" s="285">
        <f t="shared" si="116"/>
        <v>1.0117423126070088E-7</v>
      </c>
      <c r="V184" s="99">
        <f t="shared" si="117"/>
        <v>9.9999999999999995E-7</v>
      </c>
      <c r="W184" s="99">
        <f t="shared" si="99"/>
        <v>1.0000079999999993</v>
      </c>
      <c r="X184" s="99" t="e">
        <f t="shared" ca="1" si="118"/>
        <v>#N/A</v>
      </c>
      <c r="Y184" s="161" t="e">
        <f t="shared" ca="1" si="100"/>
        <v>#N/A</v>
      </c>
      <c r="Z184" s="286" t="e">
        <f t="shared" ca="1" si="93"/>
        <v>#N/A</v>
      </c>
      <c r="AA184" s="285">
        <f t="shared" si="119"/>
        <v>9.5644593906402846E-4</v>
      </c>
      <c r="AB184" s="99">
        <f t="shared" si="120"/>
        <v>9.7000000000000005E-4</v>
      </c>
      <c r="AC184" s="99">
        <f t="shared" si="101"/>
        <v>0.99668699999999999</v>
      </c>
      <c r="AD184" s="99" t="e">
        <f t="shared" ca="1" si="121"/>
        <v>#N/A</v>
      </c>
      <c r="AE184" s="161" t="e">
        <f t="shared" ca="1" si="102"/>
        <v>#N/A</v>
      </c>
      <c r="AF184" s="286" t="e">
        <f t="shared" ca="1" si="78"/>
        <v>#N/A</v>
      </c>
      <c r="AG184" s="285">
        <f t="shared" si="122"/>
        <v>2.0336623320436675E-4</v>
      </c>
      <c r="AH184" s="99">
        <f t="shared" si="123"/>
        <v>2.04E-4</v>
      </c>
      <c r="AI184" s="99">
        <f t="shared" si="103"/>
        <v>0.99934999999999985</v>
      </c>
      <c r="AJ184" s="99" t="e">
        <f t="shared" ca="1" si="124"/>
        <v>#N/A</v>
      </c>
      <c r="AK184" s="161" t="e">
        <f t="shared" ca="1" si="104"/>
        <v>#N/A</v>
      </c>
      <c r="AL184" s="286" t="e">
        <f t="shared" ca="1" si="82"/>
        <v>#N/A</v>
      </c>
      <c r="AM184" s="285">
        <f t="shared" si="125"/>
        <v>2.031927748210877E-4</v>
      </c>
      <c r="AN184" s="99">
        <f t="shared" si="126"/>
        <v>2.04E-4</v>
      </c>
      <c r="AO184" s="99">
        <f t="shared" si="105"/>
        <v>0.99936000000000014</v>
      </c>
      <c r="AP184" s="99" t="e">
        <f t="shared" ca="1" si="127"/>
        <v>#N/A</v>
      </c>
      <c r="AQ184" s="161" t="e">
        <f t="shared" ca="1" si="106"/>
        <v>#N/A</v>
      </c>
      <c r="AR184" s="286" t="e">
        <f t="shared" ca="1" si="86"/>
        <v>#N/A</v>
      </c>
      <c r="AS184" s="285">
        <f t="shared" si="128"/>
        <v>6.3920153479910528E-5</v>
      </c>
      <c r="AT184" s="99">
        <f t="shared" si="129"/>
        <v>6.3999999999999997E-5</v>
      </c>
      <c r="AU184" s="99">
        <f t="shared" si="107"/>
        <v>0.99980100000000005</v>
      </c>
      <c r="AV184" s="99" t="e">
        <f t="shared" ca="1" si="130"/>
        <v>#N/A</v>
      </c>
      <c r="AW184" s="161" t="e">
        <f t="shared" ca="1" si="108"/>
        <v>#N/A</v>
      </c>
      <c r="AX184" s="286" t="e">
        <f t="shared" ca="1" si="90"/>
        <v>#N/A</v>
      </c>
      <c r="BA184" s="92"/>
    </row>
    <row r="185" spans="2:79" x14ac:dyDescent="0.25">
      <c r="B185" s="104">
        <f t="shared" si="94"/>
        <v>56</v>
      </c>
      <c r="C185" s="94">
        <v>57</v>
      </c>
      <c r="D185" s="94">
        <f t="shared" si="62"/>
        <v>2.479767461075207E-5</v>
      </c>
      <c r="E185" s="94">
        <f t="shared" si="111"/>
        <v>2.5000000000000001E-5</v>
      </c>
      <c r="F185" s="94">
        <f t="shared" si="95"/>
        <v>0.99994200000000022</v>
      </c>
      <c r="G185" s="94" t="e">
        <f t="shared" ca="1" si="96"/>
        <v>#N/A</v>
      </c>
      <c r="H185" s="94" t="e">
        <f t="shared" ca="1" si="112"/>
        <v>#N/A</v>
      </c>
      <c r="I185" s="161" t="e">
        <f t="shared" ca="1" si="110"/>
        <v>#N/A</v>
      </c>
      <c r="J185" s="156" t="e">
        <f t="shared" ca="1" si="109"/>
        <v>#N/A</v>
      </c>
      <c r="K185" s="160" t="e">
        <f t="shared" ca="1" si="91"/>
        <v>#N/A</v>
      </c>
      <c r="L185" s="101" t="e">
        <f t="shared" ca="1" si="66"/>
        <v>#N/A</v>
      </c>
      <c r="M185" s="101" t="e">
        <f t="shared" ca="1" si="67"/>
        <v>#N/A</v>
      </c>
      <c r="N185" s="101" t="e">
        <f t="shared" ca="1" si="92"/>
        <v>#N/A</v>
      </c>
      <c r="O185" s="285">
        <f t="shared" si="113"/>
        <v>2.479767461075207E-5</v>
      </c>
      <c r="P185" s="99">
        <f t="shared" si="114"/>
        <v>2.5000000000000001E-5</v>
      </c>
      <c r="Q185" s="99">
        <f t="shared" si="97"/>
        <v>0.99994200000000022</v>
      </c>
      <c r="R185" s="99" t="e">
        <f t="shared" ca="1" si="115"/>
        <v>#N/A</v>
      </c>
      <c r="S185" s="161" t="e">
        <f t="shared" ca="1" si="98"/>
        <v>#N/A</v>
      </c>
      <c r="T185" s="286" t="e">
        <f t="shared" ca="1" si="71"/>
        <v>#N/A</v>
      </c>
      <c r="U185" s="285">
        <f t="shared" si="116"/>
        <v>8.3446629643467673E-8</v>
      </c>
      <c r="V185" s="99">
        <f t="shared" si="117"/>
        <v>9.9999999999999995E-7</v>
      </c>
      <c r="W185" s="99">
        <f t="shared" si="99"/>
        <v>1.0000089999999993</v>
      </c>
      <c r="X185" s="99" t="e">
        <f t="shared" ca="1" si="118"/>
        <v>#N/A</v>
      </c>
      <c r="Y185" s="161" t="e">
        <f t="shared" ca="1" si="100"/>
        <v>#N/A</v>
      </c>
      <c r="Z185" s="286" t="e">
        <f t="shared" ca="1" si="93"/>
        <v>#N/A</v>
      </c>
      <c r="AA185" s="285">
        <f t="shared" si="119"/>
        <v>8.9667004164064603E-4</v>
      </c>
      <c r="AB185" s="99">
        <f t="shared" si="120"/>
        <v>9.0899999999999998E-4</v>
      </c>
      <c r="AC185" s="99">
        <f t="shared" si="101"/>
        <v>0.99759600000000004</v>
      </c>
      <c r="AD185" s="99" t="e">
        <f t="shared" ca="1" si="121"/>
        <v>#N/A</v>
      </c>
      <c r="AE185" s="161" t="e">
        <f t="shared" ca="1" si="102"/>
        <v>#N/A</v>
      </c>
      <c r="AF185" s="286" t="e">
        <f t="shared" ca="1" si="78"/>
        <v>#N/A</v>
      </c>
      <c r="AG185" s="285">
        <f t="shared" si="122"/>
        <v>1.849920260193335E-4</v>
      </c>
      <c r="AH185" s="99">
        <f t="shared" si="123"/>
        <v>1.85E-4</v>
      </c>
      <c r="AI185" s="99">
        <f t="shared" si="103"/>
        <v>0.99953499999999984</v>
      </c>
      <c r="AJ185" s="99" t="e">
        <f t="shared" ca="1" si="124"/>
        <v>#N/A</v>
      </c>
      <c r="AK185" s="161" t="e">
        <f t="shared" ca="1" si="104"/>
        <v>#N/A</v>
      </c>
      <c r="AL185" s="286" t="e">
        <f t="shared" ca="1" si="82"/>
        <v>#N/A</v>
      </c>
      <c r="AM185" s="285">
        <f t="shared" si="125"/>
        <v>1.8394776337763401E-4</v>
      </c>
      <c r="AN185" s="99">
        <f t="shared" si="126"/>
        <v>1.84E-4</v>
      </c>
      <c r="AO185" s="99">
        <f t="shared" si="105"/>
        <v>0.9995440000000001</v>
      </c>
      <c r="AP185" s="99" t="e">
        <f t="shared" ca="1" si="127"/>
        <v>#N/A</v>
      </c>
      <c r="AQ185" s="161" t="e">
        <f t="shared" ca="1" si="106"/>
        <v>#N/A</v>
      </c>
      <c r="AR185" s="286" t="e">
        <f t="shared" ca="1" si="86"/>
        <v>#N/A</v>
      </c>
      <c r="AS185" s="285">
        <f t="shared" si="128"/>
        <v>5.7402796463932266E-5</v>
      </c>
      <c r="AT185" s="99">
        <f t="shared" si="129"/>
        <v>5.7000000000000003E-5</v>
      </c>
      <c r="AU185" s="99">
        <f t="shared" si="107"/>
        <v>0.99985800000000002</v>
      </c>
      <c r="AV185" s="99" t="e">
        <f t="shared" ca="1" si="130"/>
        <v>#N/A</v>
      </c>
      <c r="AW185" s="161" t="e">
        <f t="shared" ca="1" si="108"/>
        <v>#N/A</v>
      </c>
      <c r="AX185" s="286" t="e">
        <f t="shared" ca="1" si="90"/>
        <v>#N/A</v>
      </c>
    </row>
    <row r="186" spans="2:79" x14ac:dyDescent="0.25">
      <c r="B186" s="104">
        <f t="shared" si="94"/>
        <v>57</v>
      </c>
      <c r="C186" s="94">
        <v>58</v>
      </c>
      <c r="D186" s="94">
        <f t="shared" si="62"/>
        <v>2.202197231782269E-5</v>
      </c>
      <c r="E186" s="94">
        <f t="shared" si="111"/>
        <v>2.1999999999999999E-5</v>
      </c>
      <c r="F186" s="94">
        <f t="shared" si="95"/>
        <v>0.99996400000000019</v>
      </c>
      <c r="G186" s="94" t="e">
        <f t="shared" ca="1" si="96"/>
        <v>#N/A</v>
      </c>
      <c r="H186" s="94" t="e">
        <f t="shared" ca="1" si="112"/>
        <v>#N/A</v>
      </c>
      <c r="I186" s="161" t="e">
        <f t="shared" ca="1" si="110"/>
        <v>#N/A</v>
      </c>
      <c r="J186" s="156" t="e">
        <f t="shared" ca="1" si="109"/>
        <v>#N/A</v>
      </c>
      <c r="K186" s="160" t="e">
        <f t="shared" ca="1" si="91"/>
        <v>#N/A</v>
      </c>
      <c r="L186" s="101" t="e">
        <f t="shared" ca="1" si="66"/>
        <v>#N/A</v>
      </c>
      <c r="M186" s="101" t="e">
        <f t="shared" ca="1" si="67"/>
        <v>#N/A</v>
      </c>
      <c r="N186" s="101" t="e">
        <f t="shared" ca="1" si="92"/>
        <v>#N/A</v>
      </c>
      <c r="O186" s="285">
        <f t="shared" si="113"/>
        <v>2.202197231782269E-5</v>
      </c>
      <c r="P186" s="99">
        <f t="shared" si="114"/>
        <v>2.1999999999999999E-5</v>
      </c>
      <c r="Q186" s="99">
        <f t="shared" si="97"/>
        <v>0.99996400000000019</v>
      </c>
      <c r="R186" s="99" t="e">
        <f t="shared" ca="1" si="115"/>
        <v>#N/A</v>
      </c>
      <c r="S186" s="161" t="e">
        <f t="shared" ca="1" si="98"/>
        <v>#N/A</v>
      </c>
      <c r="T186" s="286" t="e">
        <f t="shared" ca="1" si="71"/>
        <v>#N/A</v>
      </c>
      <c r="U186" s="285">
        <f t="shared" si="116"/>
        <v>6.897015641193863E-8</v>
      </c>
      <c r="V186" s="99">
        <f t="shared" si="117"/>
        <v>9.9999999999999995E-7</v>
      </c>
      <c r="W186" s="99">
        <f t="shared" si="99"/>
        <v>1.0000099999999992</v>
      </c>
      <c r="X186" s="99" t="e">
        <f t="shared" ca="1" si="118"/>
        <v>#N/A</v>
      </c>
      <c r="Y186" s="161" t="e">
        <f t="shared" ca="1" si="100"/>
        <v>#N/A</v>
      </c>
      <c r="Z186" s="286" t="e">
        <f t="shared" ca="1" si="93"/>
        <v>#N/A</v>
      </c>
      <c r="AA186" s="285">
        <f t="shared" si="119"/>
        <v>8.4117492642657497E-4</v>
      </c>
      <c r="AB186" s="99">
        <f t="shared" si="120"/>
        <v>8.5300000000000003E-4</v>
      </c>
      <c r="AC186" s="99">
        <f t="shared" si="101"/>
        <v>0.99844900000000003</v>
      </c>
      <c r="AD186" s="99" t="e">
        <f t="shared" ca="1" si="121"/>
        <v>#N/A</v>
      </c>
      <c r="AE186" s="161" t="e">
        <f t="shared" ca="1" si="102"/>
        <v>#N/A</v>
      </c>
      <c r="AF186" s="286" t="e">
        <f t="shared" ca="1" si="78"/>
        <v>#N/A</v>
      </c>
      <c r="AG186" s="285">
        <f t="shared" si="122"/>
        <v>1.6843436147722917E-4</v>
      </c>
      <c r="AH186" s="99">
        <f t="shared" si="123"/>
        <v>1.6899999999999999E-4</v>
      </c>
      <c r="AI186" s="99">
        <f t="shared" si="103"/>
        <v>0.99970399999999981</v>
      </c>
      <c r="AJ186" s="99" t="e">
        <f t="shared" ca="1" si="124"/>
        <v>#N/A</v>
      </c>
      <c r="AK186" s="161" t="e">
        <f t="shared" ca="1" si="104"/>
        <v>#N/A</v>
      </c>
      <c r="AL186" s="286" t="e">
        <f t="shared" ca="1" si="82"/>
        <v>#N/A</v>
      </c>
      <c r="AM186" s="285">
        <f t="shared" si="125"/>
        <v>1.666807136390123E-4</v>
      </c>
      <c r="AN186" s="99">
        <f t="shared" si="126"/>
        <v>1.6699999999999999E-4</v>
      </c>
      <c r="AO186" s="99">
        <f t="shared" si="105"/>
        <v>0.99971100000000013</v>
      </c>
      <c r="AP186" s="99" t="e">
        <f t="shared" ca="1" si="127"/>
        <v>#N/A</v>
      </c>
      <c r="AQ186" s="161" t="e">
        <f t="shared" ca="1" si="106"/>
        <v>#N/A</v>
      </c>
      <c r="AR186" s="286" t="e">
        <f t="shared" ca="1" si="86"/>
        <v>#N/A</v>
      </c>
      <c r="AS186" s="285">
        <f t="shared" si="128"/>
        <v>5.1607516479629392E-5</v>
      </c>
      <c r="AT186" s="99">
        <f t="shared" si="129"/>
        <v>5.1999999999999997E-5</v>
      </c>
      <c r="AU186" s="99">
        <f t="shared" si="107"/>
        <v>0.99991000000000008</v>
      </c>
      <c r="AV186" s="99" t="e">
        <f t="shared" ca="1" si="130"/>
        <v>#N/A</v>
      </c>
      <c r="AW186" s="161" t="e">
        <f t="shared" ca="1" si="108"/>
        <v>#N/A</v>
      </c>
      <c r="AX186" s="286" t="e">
        <f t="shared" ca="1" si="90"/>
        <v>#N/A</v>
      </c>
    </row>
    <row r="187" spans="2:79" x14ac:dyDescent="0.25">
      <c r="B187" s="104">
        <f t="shared" si="94"/>
        <v>58</v>
      </c>
      <c r="C187" s="94">
        <v>59</v>
      </c>
      <c r="D187" s="94">
        <f t="shared" si="62"/>
        <v>1.9580882357042509E-5</v>
      </c>
      <c r="E187" s="94">
        <f t="shared" si="111"/>
        <v>2.0000000000000002E-5</v>
      </c>
      <c r="F187" s="94">
        <f t="shared" si="95"/>
        <v>0.99998400000000021</v>
      </c>
      <c r="G187" s="94" t="e">
        <f t="shared" ca="1" si="96"/>
        <v>#N/A</v>
      </c>
      <c r="H187" s="94" t="e">
        <f t="shared" ca="1" si="112"/>
        <v>#N/A</v>
      </c>
      <c r="I187" s="161" t="e">
        <f t="shared" ca="1" si="110"/>
        <v>#N/A</v>
      </c>
      <c r="J187" s="156" t="e">
        <f t="shared" ca="1" si="109"/>
        <v>#N/A</v>
      </c>
      <c r="K187" s="160" t="e">
        <f t="shared" ca="1" si="91"/>
        <v>#N/A</v>
      </c>
      <c r="L187" s="101" t="e">
        <f t="shared" ca="1" si="66"/>
        <v>#N/A</v>
      </c>
      <c r="M187" s="101" t="e">
        <f t="shared" ca="1" si="67"/>
        <v>#N/A</v>
      </c>
      <c r="N187" s="101" t="e">
        <f t="shared" ca="1" si="92"/>
        <v>#N/A</v>
      </c>
      <c r="O187" s="285">
        <f t="shared" si="113"/>
        <v>1.9580882357042509E-5</v>
      </c>
      <c r="P187" s="99">
        <f t="shared" si="114"/>
        <v>2.0000000000000002E-5</v>
      </c>
      <c r="Q187" s="99">
        <f t="shared" si="97"/>
        <v>0.99998400000000021</v>
      </c>
      <c r="R187" s="99" t="e">
        <f t="shared" ca="1" si="115"/>
        <v>#N/A</v>
      </c>
      <c r="S187" s="161" t="e">
        <f t="shared" ca="1" si="98"/>
        <v>#N/A</v>
      </c>
      <c r="T187" s="286" t="e">
        <f t="shared" ca="1" si="71"/>
        <v>#N/A</v>
      </c>
      <c r="U187" s="285">
        <f t="shared" si="116"/>
        <v>5.7122221505864575E-8</v>
      </c>
      <c r="V187" s="99">
        <f t="shared" si="117"/>
        <v>9.9999999999999995E-7</v>
      </c>
      <c r="W187" s="99">
        <f t="shared" si="99"/>
        <v>1.0000109999999991</v>
      </c>
      <c r="X187" s="99" t="e">
        <f t="shared" ca="1" si="118"/>
        <v>#N/A</v>
      </c>
      <c r="Y187" s="161" t="e">
        <f t="shared" ca="1" si="100"/>
        <v>#N/A</v>
      </c>
      <c r="Z187" s="286" t="e">
        <f t="shared" ca="1" si="93"/>
        <v>#N/A</v>
      </c>
      <c r="AA187" s="285">
        <f t="shared" si="119"/>
        <v>7.896147899609543E-4</v>
      </c>
      <c r="AB187" s="99">
        <f t="shared" si="120"/>
        <v>8.0000000000000004E-4</v>
      </c>
      <c r="AC187" s="99">
        <f t="shared" si="101"/>
        <v>0.99924900000000005</v>
      </c>
      <c r="AD187" s="99" t="e">
        <f t="shared" ca="1" si="121"/>
        <v>#N/A</v>
      </c>
      <c r="AE187" s="161" t="e">
        <f t="shared" ca="1" si="102"/>
        <v>#N/A</v>
      </c>
      <c r="AF187" s="286" t="e">
        <f t="shared" ca="1" si="78"/>
        <v>#N/A</v>
      </c>
      <c r="AG187" s="285">
        <f t="shared" si="122"/>
        <v>1.5349823602953306E-4</v>
      </c>
      <c r="AH187" s="99">
        <f t="shared" si="123"/>
        <v>1.54E-4</v>
      </c>
      <c r="AI187" s="99">
        <f t="shared" si="103"/>
        <v>0.9998579999999998</v>
      </c>
      <c r="AJ187" s="99" t="e">
        <f t="shared" ca="1" si="124"/>
        <v>#N/A</v>
      </c>
      <c r="AK187" s="161" t="e">
        <f t="shared" ca="1" si="104"/>
        <v>#N/A</v>
      </c>
      <c r="AL187" s="286" t="e">
        <f t="shared" ca="1" si="82"/>
        <v>#N/A</v>
      </c>
      <c r="AM187" s="285">
        <f t="shared" si="125"/>
        <v>1.5117251141747649E-4</v>
      </c>
      <c r="AN187" s="99">
        <f t="shared" si="126"/>
        <v>1.5100000000000001E-4</v>
      </c>
      <c r="AO187" s="99">
        <f t="shared" si="105"/>
        <v>0.99986200000000014</v>
      </c>
      <c r="AP187" s="99" t="e">
        <f t="shared" ca="1" si="127"/>
        <v>#N/A</v>
      </c>
      <c r="AQ187" s="161" t="e">
        <f t="shared" ca="1" si="106"/>
        <v>#N/A</v>
      </c>
      <c r="AR187" s="286" t="e">
        <f t="shared" ca="1" si="86"/>
        <v>#N/A</v>
      </c>
      <c r="AS187" s="285">
        <f t="shared" si="128"/>
        <v>4.6447946700704948E-5</v>
      </c>
      <c r="AT187" s="99">
        <f t="shared" si="129"/>
        <v>4.6E-5</v>
      </c>
      <c r="AU187" s="99">
        <f t="shared" si="107"/>
        <v>0.99995600000000007</v>
      </c>
      <c r="AV187" s="99" t="e">
        <f t="shared" ca="1" si="130"/>
        <v>#N/A</v>
      </c>
      <c r="AW187" s="161" t="e">
        <f t="shared" ca="1" si="108"/>
        <v>#N/A</v>
      </c>
      <c r="AX187" s="286" t="e">
        <f t="shared" ca="1" si="90"/>
        <v>#N/A</v>
      </c>
    </row>
    <row r="188" spans="2:79" x14ac:dyDescent="0.25">
      <c r="B188" s="104">
        <f t="shared" si="94"/>
        <v>59</v>
      </c>
      <c r="C188" s="94">
        <v>60</v>
      </c>
      <c r="D188" s="94">
        <f t="shared" si="62"/>
        <v>1.7431192279950344E-5</v>
      </c>
      <c r="E188" s="94">
        <f t="shared" si="111"/>
        <v>1.7E-5</v>
      </c>
      <c r="F188" s="94">
        <f t="shared" si="95"/>
        <v>1.0000010000000001</v>
      </c>
      <c r="G188" s="94" t="e">
        <f t="shared" ca="1" si="96"/>
        <v>#N/A</v>
      </c>
      <c r="H188" s="94" t="e">
        <f t="shared" ca="1" si="112"/>
        <v>#N/A</v>
      </c>
      <c r="I188" s="161" t="e">
        <f ca="1">IF((NOT(J188="n/a")),J188,ROUND(G188+I187,0))</f>
        <v>#N/A</v>
      </c>
      <c r="J188" s="156" t="e">
        <f t="shared" ca="1" si="109"/>
        <v>#N/A</v>
      </c>
      <c r="K188" s="160" t="e">
        <f t="shared" ca="1" si="91"/>
        <v>#N/A</v>
      </c>
      <c r="L188" s="101" t="e">
        <f t="shared" ca="1" si="66"/>
        <v>#N/A</v>
      </c>
      <c r="M188" s="101" t="e">
        <f t="shared" ca="1" si="67"/>
        <v>#N/A</v>
      </c>
      <c r="N188" s="101" t="e">
        <f t="shared" ca="1" si="92"/>
        <v>#N/A</v>
      </c>
      <c r="O188" s="285">
        <f t="shared" si="113"/>
        <v>1.7431192279950344E-5</v>
      </c>
      <c r="P188" s="99">
        <f t="shared" si="114"/>
        <v>1.7E-5</v>
      </c>
      <c r="Q188" s="99">
        <f t="shared" si="97"/>
        <v>1.0000010000000001</v>
      </c>
      <c r="R188" s="99" t="e">
        <f t="shared" ca="1" si="115"/>
        <v>#N/A</v>
      </c>
      <c r="S188" s="161" t="e">
        <f t="shared" ca="1" si="98"/>
        <v>#N/A</v>
      </c>
      <c r="T188" s="286" t="e">
        <f t="shared" ca="1" si="71"/>
        <v>#N/A</v>
      </c>
      <c r="U188" s="285">
        <f t="shared" si="116"/>
        <v>4.7404458006887198E-8</v>
      </c>
      <c r="V188" s="99">
        <f t="shared" si="117"/>
        <v>9.9999999999999995E-7</v>
      </c>
      <c r="W188" s="99">
        <f t="shared" si="99"/>
        <v>1.000011999999999</v>
      </c>
      <c r="X188" s="99" t="e">
        <f t="shared" ca="1" si="118"/>
        <v>#N/A</v>
      </c>
      <c r="Y188" s="161" t="e">
        <f t="shared" ca="1" si="100"/>
        <v>#N/A</v>
      </c>
      <c r="Z188" s="286" t="e">
        <f t="shared" ca="1" si="93"/>
        <v>#N/A</v>
      </c>
      <c r="AA188" s="285">
        <f t="shared" si="119"/>
        <v>7.4167491262876043E-4</v>
      </c>
      <c r="AB188" s="99">
        <f t="shared" si="120"/>
        <v>7.5199999999999996E-4</v>
      </c>
      <c r="AC188" s="99">
        <f t="shared" si="101"/>
        <v>1.0000010000000001</v>
      </c>
      <c r="AD188" s="99" t="e">
        <f t="shared" ca="1" si="121"/>
        <v>#N/A</v>
      </c>
      <c r="AE188" s="161" t="e">
        <f t="shared" ca="1" si="102"/>
        <v>#N/A</v>
      </c>
      <c r="AF188" s="286" t="e">
        <f t="shared" ca="1" si="78"/>
        <v>#N/A</v>
      </c>
      <c r="AG188" s="285">
        <f t="shared" si="122"/>
        <v>1.4001121766061696E-4</v>
      </c>
      <c r="AH188" s="99">
        <f t="shared" si="123"/>
        <v>1.3999999999999999E-4</v>
      </c>
      <c r="AI188" s="99">
        <f t="shared" si="103"/>
        <v>0.99999799999999983</v>
      </c>
      <c r="AJ188" s="99" t="e">
        <f t="shared" ca="1" si="124"/>
        <v>#N/A</v>
      </c>
      <c r="AK188" s="161" t="e">
        <f t="shared" ca="1" si="104"/>
        <v>#N/A</v>
      </c>
      <c r="AL188" s="286" t="e">
        <f t="shared" ca="1" si="82"/>
        <v>#N/A</v>
      </c>
      <c r="AM188" s="285">
        <f t="shared" si="125"/>
        <v>1.3723004163852221E-4</v>
      </c>
      <c r="AN188" s="99">
        <f t="shared" si="126"/>
        <v>1.37E-4</v>
      </c>
      <c r="AO188" s="99">
        <f t="shared" si="105"/>
        <v>0.99999900000000019</v>
      </c>
      <c r="AP188" s="99" t="e">
        <f t="shared" ca="1" si="127"/>
        <v>#N/A</v>
      </c>
      <c r="AQ188" s="161" t="e">
        <f t="shared" ca="1" si="106"/>
        <v>#N/A</v>
      </c>
      <c r="AR188" s="286" t="e">
        <f t="shared" ca="1" si="86"/>
        <v>#N/A</v>
      </c>
      <c r="AS188" s="285">
        <f t="shared" si="128"/>
        <v>4.1848807132974609E-5</v>
      </c>
      <c r="AT188" s="99">
        <f t="shared" si="129"/>
        <v>4.1999999999999998E-5</v>
      </c>
      <c r="AU188" s="99">
        <f t="shared" si="107"/>
        <v>0.99999800000000005</v>
      </c>
      <c r="AV188" s="99" t="e">
        <f t="shared" ca="1" si="130"/>
        <v>#N/A</v>
      </c>
      <c r="AW188" s="161" t="e">
        <f t="shared" ca="1" si="108"/>
        <v>#N/A</v>
      </c>
      <c r="AX188" s="286" t="e">
        <f t="shared" ca="1" si="90"/>
        <v>#N/A</v>
      </c>
    </row>
    <row r="189" spans="2:79" x14ac:dyDescent="0.25">
      <c r="C189" s="94" t="s">
        <v>126</v>
      </c>
      <c r="D189" s="93">
        <f>SUM(D129:D188)</f>
        <v>0.99972970320913224</v>
      </c>
      <c r="G189" s="94" t="e">
        <f ca="1">SUM(G129:G188)</f>
        <v>#N/A</v>
      </c>
      <c r="J189" s="103" t="e">
        <f ca="1">MAX(J129:J188)</f>
        <v>#N/A</v>
      </c>
      <c r="K189" s="160" t="e">
        <f ca="1">LOOKUP((MAX(J129:J188)),J129:J188,K129:K188)</f>
        <v>#N/A</v>
      </c>
      <c r="N189" s="94" t="e">
        <f ca="1">IF(H189&gt;0,H189,(ROUND((G189*4),0)))</f>
        <v>#N/A</v>
      </c>
      <c r="O189" s="287">
        <f>SUM(O129:O188)</f>
        <v>0.99972970320913224</v>
      </c>
      <c r="P189" s="288"/>
      <c r="Q189" s="288"/>
      <c r="R189" s="288"/>
      <c r="S189" s="288"/>
      <c r="T189" s="289" t="e">
        <f ca="1">LOOKUP((MAX($J129:$J188)),$J129:$J188,T129:T188)</f>
        <v>#N/A</v>
      </c>
      <c r="U189" s="287">
        <f>SUM(U129:U188)</f>
        <v>0.99980758476711529</v>
      </c>
      <c r="V189" s="288"/>
      <c r="W189" s="288"/>
      <c r="X189" s="288"/>
      <c r="Y189" s="288"/>
      <c r="Z189" s="289" t="e">
        <f ca="1">LOOKUP((MAX($J129:$J188)),$J129:$J188,Z129:Z188)</f>
        <v>#N/A</v>
      </c>
      <c r="AA189" s="287">
        <f>SUM(AA129:AA188)</f>
        <v>0.98653072812546672</v>
      </c>
      <c r="AB189" s="288"/>
      <c r="AC189" s="288"/>
      <c r="AD189" s="288"/>
      <c r="AE189" s="288"/>
      <c r="AF189" s="289" t="e">
        <f ca="1">LOOKUP((MAX($J129:$J188)),$J129:$J188,AF129:AF188)</f>
        <v>#N/A</v>
      </c>
      <c r="AG189" s="287">
        <f>SUM(AG129:AG188)</f>
        <v>0.99832172364385963</v>
      </c>
      <c r="AH189" s="288"/>
      <c r="AI189" s="288"/>
      <c r="AJ189" s="288"/>
      <c r="AK189" s="288"/>
      <c r="AL189" s="289" t="e">
        <f ca="1">LOOKUP((MAX($J129:$J188)),$J129:$J188,AL129:AL188)</f>
        <v>#N/A</v>
      </c>
      <c r="AM189" s="287">
        <f>SUM(AM129:AM188)</f>
        <v>0.9984740419774214</v>
      </c>
      <c r="AN189" s="288"/>
      <c r="AO189" s="288"/>
      <c r="AP189" s="288"/>
      <c r="AQ189" s="288"/>
      <c r="AR189" s="289" t="e">
        <f ca="1">LOOKUP((MAX($J129:$J188)),$J129:$J188,AR129:AR188)</f>
        <v>#N/A</v>
      </c>
      <c r="AS189" s="287">
        <f>SUM(AS129:AS188)</f>
        <v>0.99949605413856346</v>
      </c>
      <c r="AT189" s="288"/>
      <c r="AU189" s="288"/>
      <c r="AV189" s="288"/>
      <c r="AW189" s="288"/>
      <c r="AX189" s="289" t="e">
        <f ca="1">LOOKUP((MAX($J129:$J188)),$J129:$J188,AX129:AX188)</f>
        <v>#N/A</v>
      </c>
    </row>
    <row r="190" spans="2:79" x14ac:dyDescent="0.25">
      <c r="B190" s="345"/>
      <c r="C190" s="345"/>
      <c r="D190" s="346"/>
      <c r="E190" s="345"/>
      <c r="F190" s="345"/>
      <c r="G190" s="345"/>
      <c r="H190" s="345"/>
      <c r="I190" s="347"/>
      <c r="J190" s="348"/>
      <c r="K190" s="349"/>
      <c r="L190" s="345"/>
      <c r="M190" s="345"/>
      <c r="N190" s="345"/>
      <c r="O190" s="350"/>
      <c r="P190" s="350"/>
      <c r="Q190" s="350"/>
      <c r="R190" s="350"/>
      <c r="S190" s="350"/>
      <c r="T190" s="351"/>
      <c r="U190" s="350"/>
      <c r="V190" s="350"/>
      <c r="W190" s="350"/>
      <c r="X190" s="350"/>
      <c r="Y190" s="350"/>
      <c r="Z190" s="351"/>
      <c r="AA190" s="350"/>
      <c r="AB190" s="350"/>
      <c r="AC190" s="350"/>
      <c r="AD190" s="350"/>
      <c r="AE190" s="350"/>
      <c r="AF190" s="351"/>
      <c r="AG190" s="350"/>
      <c r="AH190" s="350"/>
      <c r="AI190" s="350"/>
      <c r="AJ190" s="350"/>
      <c r="AK190" s="350"/>
      <c r="AL190" s="351"/>
      <c r="AM190" s="350"/>
      <c r="AN190" s="350"/>
      <c r="AO190" s="350"/>
      <c r="AP190" s="350"/>
      <c r="AQ190" s="350"/>
      <c r="AR190" s="351"/>
      <c r="AS190" s="350"/>
      <c r="AT190" s="350"/>
      <c r="AU190" s="350"/>
      <c r="AV190" s="350"/>
      <c r="AW190" s="350"/>
      <c r="AX190" s="351"/>
      <c r="AY190" s="345"/>
      <c r="AZ190" s="345"/>
      <c r="BA190" s="345"/>
      <c r="BB190" s="345"/>
      <c r="BC190" s="345"/>
      <c r="BD190" s="345"/>
      <c r="BE190" s="345"/>
      <c r="BF190" s="345"/>
      <c r="BM190" s="345"/>
      <c r="BN190" s="345"/>
      <c r="BO190" s="345"/>
      <c r="BP190" s="345"/>
      <c r="BQ190" s="345"/>
      <c r="BR190" s="345"/>
      <c r="BS190" s="345"/>
      <c r="BT190" s="345"/>
      <c r="BU190" s="345"/>
      <c r="BV190" s="345"/>
      <c r="BW190" s="345"/>
      <c r="BX190" s="345"/>
      <c r="BY190" s="345"/>
      <c r="BZ190" s="345"/>
      <c r="CA190" s="345"/>
    </row>
    <row r="191" spans="2:79" ht="13.8" thickBot="1" x14ac:dyDescent="0.3"/>
    <row r="192" spans="2:79" ht="27" thickBot="1" x14ac:dyDescent="0.3">
      <c r="D192" s="95" t="s">
        <v>255</v>
      </c>
      <c r="E192" s="336" t="str">
        <f>$E$41</f>
        <v>Wilkening</v>
      </c>
      <c r="F192" s="323" t="str">
        <f>$F$41</f>
        <v>Wilkening</v>
      </c>
      <c r="G192" s="323" t="str">
        <f>$G$41</f>
        <v>Mod.-Brookmeyer</v>
      </c>
      <c r="H192" s="321">
        <f>$H$41</f>
        <v>0</v>
      </c>
      <c r="I192" s="99"/>
      <c r="J192" s="99"/>
      <c r="K192" s="99"/>
    </row>
    <row r="193" spans="2:79" x14ac:dyDescent="0.25">
      <c r="B193" s="252"/>
      <c r="C193" s="318"/>
      <c r="D193" s="340" t="s">
        <v>250</v>
      </c>
      <c r="E193" s="337" t="e">
        <f ca="1">IF($E$48&gt;0,IF($J260&gt;0,IF($K260&gt;$E$48,$E$48,$K260),$E$48),$K260)</f>
        <v>#N/A</v>
      </c>
      <c r="F193" s="335" t="e">
        <f ca="1">IF($E$48&gt;0,IF($J260&gt;0,IF($T194&gt;$E$48,$E$48,$T194),$E$48),$T194)</f>
        <v>#N/A</v>
      </c>
      <c r="G193" s="335" t="e">
        <f ca="1">IF($E$48&gt;0,IF($J260&gt;0,IF($AL194&gt;$E$48,$E$48,$AL194),$E$48),$AL194)</f>
        <v>#N/A</v>
      </c>
      <c r="H193" s="367"/>
      <c r="I193" s="99"/>
      <c r="J193" s="99"/>
      <c r="K193" s="99"/>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row>
    <row r="194" spans="2:79" x14ac:dyDescent="0.25">
      <c r="B194" s="99"/>
      <c r="C194" s="319"/>
      <c r="D194" s="341" t="s">
        <v>434</v>
      </c>
      <c r="E194" s="338" t="e">
        <f ca="1">IF($E$41=$F$41,F194,IF($E$41=$G$41,G194,IF($E$41=$H$41,H194,"n/a")))</f>
        <v>#N/A</v>
      </c>
      <c r="F194" s="327" t="e">
        <f ca="1">IF($E$48&gt;0,IF($J260&gt;0,IF($Z194&gt;$E$48,$E$48,$Z194),$E$48),$Z194)</f>
        <v>#N/A</v>
      </c>
      <c r="G194" s="327" t="e">
        <f ca="1">IF($E$48&gt;0,IF($J260&gt;0,IF($AX194&gt;$E$48,$E$48,$AX194),$E$48),$AX194)</f>
        <v>#N/A</v>
      </c>
      <c r="H194" s="368"/>
      <c r="I194" s="99"/>
      <c r="J194" s="99"/>
      <c r="K194" s="99"/>
      <c r="O194" s="274" t="s">
        <v>247</v>
      </c>
      <c r="P194" s="315"/>
      <c r="Q194" s="315"/>
      <c r="R194" s="275"/>
      <c r="S194" s="359" t="s">
        <v>249</v>
      </c>
      <c r="T194" s="370" t="e">
        <f ca="1">T260</f>
        <v>#N/A</v>
      </c>
      <c r="U194" s="274" t="s">
        <v>253</v>
      </c>
      <c r="V194" s="315"/>
      <c r="W194" s="315"/>
      <c r="X194" s="275"/>
      <c r="Y194" s="359" t="s">
        <v>248</v>
      </c>
      <c r="Z194" s="366" t="e">
        <f ca="1">Z260</f>
        <v>#N/A</v>
      </c>
      <c r="AA194" s="274" t="s">
        <v>252</v>
      </c>
      <c r="AB194" s="315"/>
      <c r="AC194" s="315"/>
      <c r="AD194" s="275"/>
      <c r="AE194" s="359" t="s">
        <v>251</v>
      </c>
      <c r="AF194" s="360" t="e">
        <f ca="1">AF260</f>
        <v>#N/A</v>
      </c>
      <c r="AG194" s="274" t="s">
        <v>461</v>
      </c>
      <c r="AH194" s="275"/>
      <c r="AI194" s="275"/>
      <c r="AJ194" s="275"/>
      <c r="AK194" s="275"/>
      <c r="AL194" s="360" t="e">
        <f ca="1">AL260</f>
        <v>#N/A</v>
      </c>
      <c r="AM194" s="274" t="s">
        <v>462</v>
      </c>
      <c r="AN194" s="275"/>
      <c r="AO194" s="275"/>
      <c r="AP194" s="275"/>
      <c r="AQ194" s="359" t="s">
        <v>465</v>
      </c>
      <c r="AR194" s="360" t="e">
        <f ca="1">AR260</f>
        <v>#N/A</v>
      </c>
      <c r="AS194" s="274" t="s">
        <v>463</v>
      </c>
      <c r="AT194" s="275"/>
      <c r="AU194" s="275"/>
      <c r="AV194" s="275"/>
      <c r="AW194" s="359" t="s">
        <v>464</v>
      </c>
      <c r="AX194" s="360" t="e">
        <f ca="1">AX260</f>
        <v>#N/A</v>
      </c>
      <c r="CA194" s="102"/>
    </row>
    <row r="195" spans="2:79" ht="13.8" thickBot="1" x14ac:dyDescent="0.3">
      <c r="B195" s="99"/>
      <c r="C195" s="320"/>
      <c r="D195" s="342" t="s">
        <v>435</v>
      </c>
      <c r="E195" s="339" t="e">
        <f ca="1">IF($E$41=$F$41,F195,IF($E$41=$G$41,G195,IF($E$41=$H$41,H195,"n/a")))</f>
        <v>#N/A</v>
      </c>
      <c r="F195" s="328" t="e">
        <f ca="1">IF($E$48&gt;0,IF($J260&gt;0,IF($AF194&gt;$E$48,$E$48,$AF194),$E$48),$AF194)</f>
        <v>#N/A</v>
      </c>
      <c r="G195" s="328" t="e">
        <f ca="1">IF($E$48&gt;0,IF($J260&gt;0,IF($AR194&gt;$E$48,$E$48,$AR194),$E$48),$AR194)</f>
        <v>#N/A</v>
      </c>
      <c r="H195" s="369"/>
      <c r="I195" s="99"/>
      <c r="J195" s="99"/>
      <c r="K195" s="99"/>
      <c r="O195" s="276"/>
      <c r="P195" s="277"/>
      <c r="Q195" s="277"/>
      <c r="R195" s="277"/>
      <c r="S195" s="277"/>
      <c r="T195" s="279"/>
      <c r="U195" s="276"/>
      <c r="V195" s="277"/>
      <c r="W195" s="277"/>
      <c r="X195" s="277"/>
      <c r="Y195" s="277"/>
      <c r="Z195" s="281"/>
      <c r="AA195" s="276"/>
      <c r="AB195" s="277"/>
      <c r="AC195" s="277"/>
      <c r="AD195" s="277"/>
      <c r="AE195" s="277"/>
      <c r="AF195" s="281"/>
      <c r="AG195" s="276"/>
      <c r="AH195" s="277"/>
      <c r="AI195" s="277"/>
      <c r="AJ195" s="277"/>
      <c r="AK195" s="277"/>
      <c r="AL195" s="281"/>
      <c r="AM195" s="276"/>
      <c r="AN195" s="277"/>
      <c r="AO195" s="277"/>
      <c r="AP195" s="277"/>
      <c r="AQ195" s="277"/>
      <c r="AR195" s="281"/>
      <c r="AS195" s="276"/>
      <c r="AT195" s="277"/>
      <c r="AU195" s="277"/>
      <c r="AV195" s="277"/>
      <c r="AW195" s="277"/>
      <c r="AX195" s="281"/>
      <c r="AY195" s="98"/>
      <c r="AZ195" s="98"/>
      <c r="BA195" s="102"/>
      <c r="BB195" s="102"/>
      <c r="BC195" s="102"/>
      <c r="BD195" s="102"/>
      <c r="BE195" s="102"/>
      <c r="BF195" s="102"/>
      <c r="BM195" s="102"/>
      <c r="BN195" s="102"/>
      <c r="BO195" s="102"/>
      <c r="BP195" s="102"/>
      <c r="BQ195" s="102"/>
      <c r="BR195" s="102"/>
      <c r="BS195" s="102"/>
      <c r="BT195" s="102"/>
      <c r="BU195" s="102"/>
      <c r="BV195" s="102"/>
      <c r="BW195" s="102"/>
      <c r="BX195" s="102"/>
      <c r="BY195" s="102"/>
      <c r="BZ195" s="102"/>
    </row>
    <row r="196" spans="2:79" x14ac:dyDescent="0.25">
      <c r="B196" s="99"/>
      <c r="C196" s="316"/>
      <c r="D196" s="316"/>
      <c r="E196" s="317"/>
      <c r="F196" s="313"/>
      <c r="G196" s="313"/>
      <c r="H196" s="313"/>
      <c r="I196" s="99"/>
      <c r="J196" s="99"/>
      <c r="K196" s="99"/>
      <c r="O196" s="276"/>
      <c r="P196" s="277"/>
      <c r="Q196" s="277"/>
      <c r="R196" s="277"/>
      <c r="S196" s="277"/>
      <c r="T196" s="277"/>
      <c r="U196" s="276"/>
      <c r="V196" s="277"/>
      <c r="W196" s="277"/>
      <c r="X196" s="277"/>
      <c r="Y196" s="277"/>
      <c r="Z196" s="278"/>
      <c r="AA196" s="276"/>
      <c r="AB196" s="277"/>
      <c r="AC196" s="277"/>
      <c r="AD196" s="277"/>
      <c r="AE196" s="277"/>
      <c r="AF196" s="278"/>
      <c r="AG196" s="276"/>
      <c r="AH196" s="277"/>
      <c r="AI196" s="277"/>
      <c r="AJ196" s="277"/>
      <c r="AK196" s="277"/>
      <c r="AL196" s="278"/>
      <c r="AM196" s="276"/>
      <c r="AN196" s="277"/>
      <c r="AO196" s="277"/>
      <c r="AP196" s="277"/>
      <c r="AQ196" s="277"/>
      <c r="AR196" s="278"/>
      <c r="AS196" s="276"/>
      <c r="AT196" s="277"/>
      <c r="AU196" s="277"/>
      <c r="AV196" s="277"/>
      <c r="AW196" s="277"/>
      <c r="AX196" s="278"/>
    </row>
    <row r="197" spans="2:79" ht="15.6" x14ac:dyDescent="0.25">
      <c r="B197" s="99"/>
      <c r="C197" s="316"/>
      <c r="D197" s="316"/>
      <c r="E197" s="317"/>
      <c r="F197" s="313"/>
      <c r="G197" s="313"/>
      <c r="H197" s="313"/>
      <c r="I197" s="99"/>
      <c r="J197" s="99"/>
      <c r="K197" s="99"/>
      <c r="O197" s="365"/>
      <c r="P197" s="362"/>
      <c r="Q197" s="362"/>
      <c r="R197" s="362"/>
      <c r="S197" s="363"/>
      <c r="T197" s="371"/>
      <c r="U197" s="365"/>
      <c r="V197" s="362"/>
      <c r="W197" s="362"/>
      <c r="X197" s="362"/>
      <c r="Y197" s="363"/>
      <c r="Z197" s="364"/>
      <c r="AA197" s="365"/>
      <c r="AB197" s="362"/>
      <c r="AC197" s="362"/>
      <c r="AD197" s="362"/>
      <c r="AE197" s="363"/>
      <c r="AF197" s="364"/>
      <c r="AG197" s="361"/>
      <c r="AH197" s="362"/>
      <c r="AI197" s="362"/>
      <c r="AJ197" s="362"/>
      <c r="AK197" s="363"/>
      <c r="AL197" s="364"/>
      <c r="AM197" s="361"/>
      <c r="AN197" s="362"/>
      <c r="AO197" s="362"/>
      <c r="AP197" s="362"/>
      <c r="AQ197" s="363"/>
      <c r="AR197" s="364"/>
      <c r="AS197" s="361"/>
      <c r="AT197" s="362"/>
      <c r="AU197" s="362"/>
      <c r="AV197" s="362"/>
      <c r="AW197" s="363"/>
      <c r="AX197" s="364"/>
    </row>
    <row r="198" spans="2:79" ht="17.399999999999999" x14ac:dyDescent="0.3">
      <c r="B198" s="314" t="s">
        <v>427</v>
      </c>
      <c r="E198" s="464" t="str">
        <f>CASE_COUNTS!D10:D10</f>
        <v>&lt;type description here&gt;</v>
      </c>
      <c r="G198" s="100"/>
      <c r="H198" s="95"/>
      <c r="O198" s="280"/>
      <c r="P198" s="279"/>
      <c r="Q198" s="279"/>
      <c r="R198" s="279"/>
      <c r="S198" s="279"/>
      <c r="T198" s="281"/>
      <c r="U198" s="280"/>
      <c r="V198" s="279"/>
      <c r="W198" s="279"/>
      <c r="X198" s="279"/>
      <c r="Y198" s="279"/>
      <c r="Z198" s="281"/>
      <c r="AA198" s="280"/>
      <c r="AB198" s="279"/>
      <c r="AC198" s="279"/>
      <c r="AD198" s="279"/>
      <c r="AE198" s="279"/>
      <c r="AF198" s="281"/>
      <c r="AI198" s="279"/>
      <c r="AK198" s="279"/>
      <c r="AL198" s="281"/>
      <c r="AO198" s="279"/>
      <c r="AQ198" s="279"/>
      <c r="AR198" s="281"/>
      <c r="AU198" s="279"/>
      <c r="AW198" s="279"/>
      <c r="AX198" s="281"/>
    </row>
    <row r="199" spans="2:79" ht="66" x14ac:dyDescent="0.25">
      <c r="B199" s="157" t="s">
        <v>118</v>
      </c>
      <c r="C199" s="157" t="s">
        <v>137</v>
      </c>
      <c r="D199" s="157" t="s">
        <v>136</v>
      </c>
      <c r="E199" s="157" t="s">
        <v>135</v>
      </c>
      <c r="F199" s="157" t="s">
        <v>134</v>
      </c>
      <c r="G199" s="158" t="s">
        <v>133</v>
      </c>
      <c r="H199" s="158" t="s">
        <v>256</v>
      </c>
      <c r="I199" s="158" t="s">
        <v>132</v>
      </c>
      <c r="J199" s="157" t="s">
        <v>131</v>
      </c>
      <c r="K199" s="159" t="s">
        <v>130</v>
      </c>
      <c r="L199" s="157" t="s">
        <v>128</v>
      </c>
      <c r="M199" s="157" t="s">
        <v>129</v>
      </c>
      <c r="N199" s="157" t="s">
        <v>127</v>
      </c>
      <c r="O199" s="282" t="s">
        <v>213</v>
      </c>
      <c r="P199" s="283" t="s">
        <v>215</v>
      </c>
      <c r="Q199" s="283" t="s">
        <v>220</v>
      </c>
      <c r="R199" s="283" t="s">
        <v>217</v>
      </c>
      <c r="S199" s="283" t="s">
        <v>219</v>
      </c>
      <c r="T199" s="284" t="s">
        <v>218</v>
      </c>
      <c r="U199" s="282" t="s">
        <v>213</v>
      </c>
      <c r="V199" s="283" t="s">
        <v>215</v>
      </c>
      <c r="W199" s="283" t="s">
        <v>220</v>
      </c>
      <c r="X199" s="283" t="s">
        <v>217</v>
      </c>
      <c r="Y199" s="283" t="s">
        <v>219</v>
      </c>
      <c r="Z199" s="284" t="s">
        <v>218</v>
      </c>
      <c r="AA199" s="282" t="s">
        <v>213</v>
      </c>
      <c r="AB199" s="283" t="s">
        <v>215</v>
      </c>
      <c r="AC199" s="283" t="s">
        <v>220</v>
      </c>
      <c r="AD199" s="283" t="s">
        <v>217</v>
      </c>
      <c r="AE199" s="283" t="s">
        <v>219</v>
      </c>
      <c r="AF199" s="284" t="s">
        <v>218</v>
      </c>
      <c r="AG199" s="159" t="s">
        <v>214</v>
      </c>
      <c r="AH199" s="159" t="s">
        <v>216</v>
      </c>
      <c r="AI199" s="283" t="s">
        <v>224</v>
      </c>
      <c r="AJ199" s="283" t="s">
        <v>221</v>
      </c>
      <c r="AK199" s="283" t="s">
        <v>222</v>
      </c>
      <c r="AL199" s="284" t="s">
        <v>223</v>
      </c>
      <c r="AM199" s="159" t="s">
        <v>214</v>
      </c>
      <c r="AN199" s="159" t="s">
        <v>216</v>
      </c>
      <c r="AO199" s="283" t="s">
        <v>224</v>
      </c>
      <c r="AP199" s="283" t="s">
        <v>221</v>
      </c>
      <c r="AQ199" s="283" t="s">
        <v>222</v>
      </c>
      <c r="AR199" s="284" t="s">
        <v>223</v>
      </c>
      <c r="AS199" s="159" t="s">
        <v>214</v>
      </c>
      <c r="AT199" s="159" t="s">
        <v>216</v>
      </c>
      <c r="AU199" s="283" t="s">
        <v>224</v>
      </c>
      <c r="AV199" s="283" t="s">
        <v>221</v>
      </c>
      <c r="AW199" s="283" t="s">
        <v>222</v>
      </c>
      <c r="AX199" s="284" t="s">
        <v>223</v>
      </c>
    </row>
    <row r="200" spans="2:79" x14ac:dyDescent="0.25">
      <c r="B200" s="104">
        <f>$I$402</f>
        <v>0</v>
      </c>
      <c r="C200" s="94">
        <v>1</v>
      </c>
      <c r="D200" s="94">
        <f t="shared" ref="D200:D231" si="131">_xlfn.LOGNORM.DIST(C200, $E$45, $E$47, FALSE)</f>
        <v>4.1494886126356278E-3</v>
      </c>
      <c r="E200" s="94">
        <f t="shared" ref="E200:E231" si="132">ROUND(D200/$D$260,6)</f>
        <v>4.1510000000000002E-3</v>
      </c>
      <c r="F200" s="94">
        <f>E200</f>
        <v>4.1510000000000002E-3</v>
      </c>
      <c r="G200" s="94" t="e">
        <f t="shared" ref="G200:G231" ca="1" si="133">IF(H200&gt;0,H200,(ROUND(E200*$E$193,0)))</f>
        <v>#N/A</v>
      </c>
      <c r="H200" s="94" t="e">
        <f t="shared" ref="H200:H231" ca="1" si="134">LOOKUP(B200,$C$405:$C$601,(OFFSET($C$405:$C$601,0,3)))</f>
        <v>#N/A</v>
      </c>
      <c r="I200" s="161" t="e">
        <f t="shared" ref="I200:I207" ca="1" si="135">IF((NOT(J200="n/a")),J200,ROUND(G200+I199,0))</f>
        <v>#N/A</v>
      </c>
      <c r="J200" s="156" t="e">
        <f ca="1">H200</f>
        <v>#N/A</v>
      </c>
      <c r="K200" s="160" t="e">
        <f ca="1">IF(NOT(J200="n/a"),(J200/F200),0)</f>
        <v>#N/A</v>
      </c>
      <c r="L200" s="101" t="e">
        <f t="shared" ref="L200:L231" ca="1" si="136">IF($E$41=$F$41,AE200,IF($E$41=$G$41,AW200,"n/a"))</f>
        <v>#N/A</v>
      </c>
      <c r="M200" s="101" t="e">
        <f t="shared" ref="M200:M231" ca="1" si="137">IF($E$41=$F$41,Y200,IF($E$41=$G$41,AQ200,"n/a"))</f>
        <v>#N/A</v>
      </c>
      <c r="N200" s="101" t="e">
        <f ca="1">IF($E$41=$F$41,AD200,IF($E$41=$G$41,AP200,"n/a"))</f>
        <v>#N/A</v>
      </c>
      <c r="O200" s="285">
        <f t="shared" ref="O200:O231" si="138">_xlfn.LOGNORM.DIST($C200, O$52, O$53, FALSE)</f>
        <v>4.1494886126356278E-3</v>
      </c>
      <c r="P200" s="99">
        <f t="shared" ref="P200:P231" si="139">ROUND(O200/O$260,6)</f>
        <v>4.1510000000000002E-3</v>
      </c>
      <c r="Q200" s="99">
        <f>P200</f>
        <v>4.1510000000000002E-3</v>
      </c>
      <c r="R200" s="99" t="e">
        <f t="shared" ref="R200:R231" ca="1" si="140">ROUND(P200*$F$193,0)</f>
        <v>#N/A</v>
      </c>
      <c r="S200" s="161" t="e">
        <f ca="1">ROUND(R200,0)</f>
        <v>#N/A</v>
      </c>
      <c r="T200" s="286" t="e">
        <f t="shared" ref="T200:T231" ca="1" si="141">IF(NOT($J200="n/a"),($J200/Q200),0)</f>
        <v>#N/A</v>
      </c>
      <c r="U200" s="285">
        <f t="shared" ref="U200:U231" si="142">_xlfn.LOGNORM.DIST($C200, U$52, U$53, FALSE)</f>
        <v>3.8999077802935674E-3</v>
      </c>
      <c r="V200" s="99">
        <f t="shared" ref="V200:V231" si="143">IF(ROUND(U200/U$260,6)&lt;0.000001,0.000001,ROUND(U200/U$260,6))</f>
        <v>3.901E-3</v>
      </c>
      <c r="W200" s="99">
        <f>V200</f>
        <v>3.901E-3</v>
      </c>
      <c r="X200" s="99" t="e">
        <f t="shared" ref="X200:X231" ca="1" si="144">ROUND(V200*$F$194,0)</f>
        <v>#N/A</v>
      </c>
      <c r="Y200" s="161" t="e">
        <f ca="1">ROUND(X200,0)</f>
        <v>#N/A</v>
      </c>
      <c r="Z200" s="286" t="e">
        <f ca="1">IF(NOT($J200="n/a"),($J200/W200),0)</f>
        <v>#N/A</v>
      </c>
      <c r="AA200" s="285">
        <f t="shared" ref="AA200:AA231" si="145">_xlfn.LOGNORM.DIST($C200, AA$52, AA$53, FALSE)</f>
        <v>7.2536703768600807E-3</v>
      </c>
      <c r="AB200" s="99">
        <f t="shared" ref="AB200:AB231" si="146">IF(ROUND(AA200/AA$260,6)&lt;0.000001,0.000001,ROUND(AA200/AA$260,6))</f>
        <v>7.3530000000000002E-3</v>
      </c>
      <c r="AC200" s="99">
        <f>AB200</f>
        <v>7.3530000000000002E-3</v>
      </c>
      <c r="AD200" s="99" t="e">
        <f t="shared" ref="AD200:AD231" ca="1" si="147">ROUND(AB200*$F$195,0)</f>
        <v>#N/A</v>
      </c>
      <c r="AE200" s="161" t="e">
        <f ca="1">ROUND(AD200,0)</f>
        <v>#N/A</v>
      </c>
      <c r="AF200" s="286" t="e">
        <f t="shared" ref="AF200:AF231" ca="1" si="148">IF(NOT($J200="n/a"),($J200/AC200),0)</f>
        <v>#N/A</v>
      </c>
      <c r="AG200" s="285">
        <f t="shared" ref="AG200:AG231" si="149">_xlfn.LOGNORM.DIST($C200, AG$52, AG$53, FALSE)</f>
        <v>2.228973652197974E-3</v>
      </c>
      <c r="AH200" s="99">
        <f t="shared" ref="AH200:AH231" si="150">ROUND(AG200/AG$260,6)</f>
        <v>2.2330000000000002E-3</v>
      </c>
      <c r="AI200" s="99">
        <f>AH200</f>
        <v>2.2330000000000002E-3</v>
      </c>
      <c r="AJ200" s="99" t="e">
        <f t="shared" ref="AJ200:AJ231" ca="1" si="151">ROUND(AH200*$G$193,0)</f>
        <v>#N/A</v>
      </c>
      <c r="AK200" s="161" t="e">
        <f ca="1">ROUND(AJ200,0)</f>
        <v>#N/A</v>
      </c>
      <c r="AL200" s="286" t="e">
        <f t="shared" ref="AL200:AL231" ca="1" si="152">IF(NOT($J200="n/a"),($J200/AI200),0)</f>
        <v>#N/A</v>
      </c>
      <c r="AM200" s="285">
        <f t="shared" ref="AM200:AM231" si="153">_xlfn.LOGNORM.DIST($C200, AM$52, AM$53, FALSE)</f>
        <v>7.6328943848398372E-4</v>
      </c>
      <c r="AN200" s="99">
        <f t="shared" ref="AN200:AN231" si="154">IF(ROUND(AM200/AM$260,6)&lt;0.000001,0.000001,ROUND(AM200/AM$260,6))</f>
        <v>7.6400000000000003E-4</v>
      </c>
      <c r="AO200" s="99">
        <f>AN200</f>
        <v>7.6400000000000003E-4</v>
      </c>
      <c r="AP200" s="99" t="e">
        <f t="shared" ref="AP200:AP231" ca="1" si="155">ROUND(AN200*$G$195,0)</f>
        <v>#N/A</v>
      </c>
      <c r="AQ200" s="161" t="e">
        <f ca="1">ROUND(AP200,0)</f>
        <v>#N/A</v>
      </c>
      <c r="AR200" s="286" t="e">
        <f t="shared" ref="AR200:AR231" ca="1" si="156">IF(NOT($J200="n/a"),($J200/AO200),0)</f>
        <v>#N/A</v>
      </c>
      <c r="AS200" s="285">
        <f t="shared" ref="AS200:AS231" si="157">_xlfn.LOGNORM.DIST($C200, AS$52, AS$53, FALSE)</f>
        <v>4.9059042822844484E-3</v>
      </c>
      <c r="AT200" s="99">
        <f t="shared" ref="AT200:AT231" si="158">IF(ROUND(AS200/AS$260,6)&lt;0.000001,0.000001,ROUND(AS200/AS$260,6))</f>
        <v>4.908E-3</v>
      </c>
      <c r="AU200" s="99">
        <f>AT200</f>
        <v>4.908E-3</v>
      </c>
      <c r="AV200" s="99" t="e">
        <f t="shared" ref="AV200:AV231" ca="1" si="159">ROUND(AT200*$F$194,0)</f>
        <v>#N/A</v>
      </c>
      <c r="AW200" s="161" t="e">
        <f ca="1">ROUND(AV200,0)</f>
        <v>#N/A</v>
      </c>
      <c r="AX200" s="286" t="e">
        <f t="shared" ref="AX200:AX231" ca="1" si="160">IF(NOT($J200="n/a"),($J200/AU200),0)</f>
        <v>#N/A</v>
      </c>
    </row>
    <row r="201" spans="2:79" x14ac:dyDescent="0.25">
      <c r="B201" s="104">
        <f>B200+1</f>
        <v>1</v>
      </c>
      <c r="C201" s="94">
        <v>2</v>
      </c>
      <c r="D201" s="94">
        <f t="shared" si="131"/>
        <v>4.1441088921845635E-2</v>
      </c>
      <c r="E201" s="94">
        <f t="shared" si="132"/>
        <v>4.1452000000000003E-2</v>
      </c>
      <c r="F201" s="94">
        <f>E201+F200</f>
        <v>4.5603000000000005E-2</v>
      </c>
      <c r="G201" s="94" t="e">
        <f t="shared" ca="1" si="133"/>
        <v>#N/A</v>
      </c>
      <c r="H201" s="94" t="e">
        <f t="shared" ca="1" si="134"/>
        <v>#N/A</v>
      </c>
      <c r="I201" s="161" t="e">
        <f t="shared" ca="1" si="135"/>
        <v>#N/A</v>
      </c>
      <c r="J201" s="156" t="e">
        <f ca="1">IF(H201=0,"n/a",H201+J200)</f>
        <v>#N/A</v>
      </c>
      <c r="K201" s="160" t="e">
        <f t="shared" ref="K201:K259" ca="1" si="161">IF(NOT(J201="n/a"),(J201/F201),0)</f>
        <v>#N/A</v>
      </c>
      <c r="L201" s="101" t="e">
        <f t="shared" ca="1" si="136"/>
        <v>#N/A</v>
      </c>
      <c r="M201" s="101" t="e">
        <f t="shared" ca="1" si="137"/>
        <v>#N/A</v>
      </c>
      <c r="N201" s="101" t="e">
        <f t="shared" ref="N201:N259" ca="1" si="162">IF($E$41=$F$41,AD201,IF($E$41=$G$41,AP201,"n/a"))</f>
        <v>#N/A</v>
      </c>
      <c r="O201" s="285">
        <f t="shared" si="138"/>
        <v>4.1441088921845635E-2</v>
      </c>
      <c r="P201" s="99">
        <f t="shared" si="139"/>
        <v>4.1452000000000003E-2</v>
      </c>
      <c r="Q201" s="99">
        <f>P201+Q200</f>
        <v>4.5603000000000005E-2</v>
      </c>
      <c r="R201" s="99" t="e">
        <f t="shared" ca="1" si="140"/>
        <v>#N/A</v>
      </c>
      <c r="S201" s="161" t="e">
        <f ca="1">ROUND(R201+S200,0)</f>
        <v>#N/A</v>
      </c>
      <c r="T201" s="286" t="e">
        <f t="shared" ca="1" si="141"/>
        <v>#N/A</v>
      </c>
      <c r="U201" s="285">
        <f t="shared" si="142"/>
        <v>7.092576247741994E-2</v>
      </c>
      <c r="V201" s="99">
        <f t="shared" si="143"/>
        <v>7.0939000000000002E-2</v>
      </c>
      <c r="W201" s="99">
        <f>V201+W200</f>
        <v>7.4840000000000004E-2</v>
      </c>
      <c r="X201" s="99" t="e">
        <f t="shared" ca="1" si="144"/>
        <v>#N/A</v>
      </c>
      <c r="Y201" s="161" t="e">
        <f ca="1">ROUND(X201+Y200,0)</f>
        <v>#N/A</v>
      </c>
      <c r="Z201" s="286" t="e">
        <f t="shared" ref="Z201:Z231" ca="1" si="163">IF(NOT($J201="n/a"),($J201/W201),0)</f>
        <v>#N/A</v>
      </c>
      <c r="AA201" s="285">
        <f t="shared" si="145"/>
        <v>3.0817935068779893E-2</v>
      </c>
      <c r="AB201" s="99">
        <f t="shared" si="146"/>
        <v>3.1238999999999999E-2</v>
      </c>
      <c r="AC201" s="99">
        <f>AB201+AC200</f>
        <v>3.8592000000000001E-2</v>
      </c>
      <c r="AD201" s="99" t="e">
        <f t="shared" ca="1" si="147"/>
        <v>#N/A</v>
      </c>
      <c r="AE201" s="161" t="e">
        <f ca="1">ROUND(AD201+AE200,0)</f>
        <v>#N/A</v>
      </c>
      <c r="AF201" s="286" t="e">
        <f t="shared" ca="1" si="148"/>
        <v>#N/A</v>
      </c>
      <c r="AG201" s="285">
        <f t="shared" si="149"/>
        <v>2.2329188082983068E-2</v>
      </c>
      <c r="AH201" s="99">
        <f t="shared" si="150"/>
        <v>2.2367000000000001E-2</v>
      </c>
      <c r="AI201" s="99">
        <f>AH201+AI200</f>
        <v>2.46E-2</v>
      </c>
      <c r="AJ201" s="99" t="e">
        <f t="shared" ca="1" si="151"/>
        <v>#N/A</v>
      </c>
      <c r="AK201" s="161" t="e">
        <f ca="1">ROUND(AJ201+AK200,0)</f>
        <v>#N/A</v>
      </c>
      <c r="AL201" s="286" t="e">
        <f t="shared" ca="1" si="152"/>
        <v>#N/A</v>
      </c>
      <c r="AM201" s="285">
        <f t="shared" si="153"/>
        <v>1.2500445109613734E-2</v>
      </c>
      <c r="AN201" s="99">
        <f t="shared" si="154"/>
        <v>1.252E-2</v>
      </c>
      <c r="AO201" s="99">
        <f>AN201+AO200</f>
        <v>1.3284000000000001E-2</v>
      </c>
      <c r="AP201" s="99" t="e">
        <f t="shared" ca="1" si="155"/>
        <v>#N/A</v>
      </c>
      <c r="AQ201" s="161" t="e">
        <f ca="1">ROUND(AP201+AQ200,0)</f>
        <v>#N/A</v>
      </c>
      <c r="AR201" s="286" t="e">
        <f t="shared" ca="1" si="156"/>
        <v>#N/A</v>
      </c>
      <c r="AS201" s="285">
        <f t="shared" si="157"/>
        <v>4.0368885307584028E-2</v>
      </c>
      <c r="AT201" s="99">
        <f t="shared" si="158"/>
        <v>4.0389000000000001E-2</v>
      </c>
      <c r="AU201" s="99">
        <f>AT201+AU200</f>
        <v>4.5297000000000004E-2</v>
      </c>
      <c r="AV201" s="99" t="e">
        <f t="shared" ca="1" si="159"/>
        <v>#N/A</v>
      </c>
      <c r="AW201" s="161" t="e">
        <f ca="1">ROUND(AV201+AW200,0)</f>
        <v>#N/A</v>
      </c>
      <c r="AX201" s="286" t="e">
        <f t="shared" ca="1" si="160"/>
        <v>#N/A</v>
      </c>
    </row>
    <row r="202" spans="2:79" x14ac:dyDescent="0.25">
      <c r="B202" s="104">
        <f t="shared" ref="B202:B259" si="164">B201+1</f>
        <v>2</v>
      </c>
      <c r="C202" s="94">
        <v>3</v>
      </c>
      <c r="D202" s="94">
        <f t="shared" si="131"/>
        <v>8.6536506476041108E-2</v>
      </c>
      <c r="E202" s="94">
        <f t="shared" si="132"/>
        <v>8.6559999999999998E-2</v>
      </c>
      <c r="F202" s="94">
        <f t="shared" ref="F202:F259" si="165">E202+F201</f>
        <v>0.132163</v>
      </c>
      <c r="G202" s="94" t="e">
        <f t="shared" ca="1" si="133"/>
        <v>#N/A</v>
      </c>
      <c r="H202" s="94" t="e">
        <f t="shared" ca="1" si="134"/>
        <v>#N/A</v>
      </c>
      <c r="I202" s="161" t="e">
        <f t="shared" ca="1" si="135"/>
        <v>#N/A</v>
      </c>
      <c r="J202" s="156" t="e">
        <f ca="1">IF(H202=0,"n/a",H202+J201)</f>
        <v>#N/A</v>
      </c>
      <c r="K202" s="160" t="e">
        <f t="shared" ca="1" si="161"/>
        <v>#N/A</v>
      </c>
      <c r="L202" s="101" t="e">
        <f t="shared" ca="1" si="136"/>
        <v>#N/A</v>
      </c>
      <c r="M202" s="101" t="e">
        <f t="shared" ca="1" si="137"/>
        <v>#N/A</v>
      </c>
      <c r="N202" s="101" t="e">
        <f t="shared" ca="1" si="162"/>
        <v>#N/A</v>
      </c>
      <c r="O202" s="285">
        <f t="shared" si="138"/>
        <v>8.6536506476041108E-2</v>
      </c>
      <c r="P202" s="99">
        <f t="shared" si="139"/>
        <v>8.6559999999999998E-2</v>
      </c>
      <c r="Q202" s="99">
        <f t="shared" ref="Q202:Q259" si="166">P202+Q201</f>
        <v>0.132163</v>
      </c>
      <c r="R202" s="99" t="e">
        <f t="shared" ca="1" si="140"/>
        <v>#N/A</v>
      </c>
      <c r="S202" s="161" t="e">
        <f t="shared" ref="S202:S259" ca="1" si="167">ROUND(R202+S201,0)</f>
        <v>#N/A</v>
      </c>
      <c r="T202" s="286" t="e">
        <f t="shared" ca="1" si="141"/>
        <v>#N/A</v>
      </c>
      <c r="U202" s="285">
        <f t="shared" si="142"/>
        <v>0.15576054666355946</v>
      </c>
      <c r="V202" s="99">
        <f t="shared" si="143"/>
        <v>0.15579100000000001</v>
      </c>
      <c r="W202" s="99">
        <f t="shared" ref="W202:W259" si="168">V202+W201</f>
        <v>0.23063100000000003</v>
      </c>
      <c r="X202" s="99" t="e">
        <f t="shared" ca="1" si="144"/>
        <v>#N/A</v>
      </c>
      <c r="Y202" s="161" t="e">
        <f t="shared" ref="Y202:Y259" ca="1" si="169">ROUND(X202+Y201,0)</f>
        <v>#N/A</v>
      </c>
      <c r="Z202" s="286" t="e">
        <f t="shared" ca="1" si="163"/>
        <v>#N/A</v>
      </c>
      <c r="AA202" s="285">
        <f t="shared" si="145"/>
        <v>5.0806545186598377E-2</v>
      </c>
      <c r="AB202" s="99">
        <f t="shared" si="146"/>
        <v>5.1499999999999997E-2</v>
      </c>
      <c r="AC202" s="99">
        <f t="shared" ref="AC202:AC259" si="170">AB202+AC201</f>
        <v>9.0092000000000005E-2</v>
      </c>
      <c r="AD202" s="99" t="e">
        <f t="shared" ca="1" si="147"/>
        <v>#N/A</v>
      </c>
      <c r="AE202" s="161" t="e">
        <f t="shared" ref="AE202:AE259" ca="1" si="171">ROUND(AD202+AE201,0)</f>
        <v>#N/A</v>
      </c>
      <c r="AF202" s="286" t="e">
        <f t="shared" ca="1" si="148"/>
        <v>#N/A</v>
      </c>
      <c r="AG202" s="285">
        <f t="shared" si="149"/>
        <v>5.0903195133495303E-2</v>
      </c>
      <c r="AH202" s="99">
        <f t="shared" si="150"/>
        <v>5.0989E-2</v>
      </c>
      <c r="AI202" s="99">
        <f t="shared" ref="AI202:AI259" si="172">AH202+AI201</f>
        <v>7.5589000000000003E-2</v>
      </c>
      <c r="AJ202" s="99" t="e">
        <f t="shared" ca="1" si="151"/>
        <v>#N/A</v>
      </c>
      <c r="AK202" s="161" t="e">
        <f t="shared" ref="AK202:AK259" ca="1" si="173">ROUND(AJ202+AK201,0)</f>
        <v>#N/A</v>
      </c>
      <c r="AL202" s="286" t="e">
        <f t="shared" ca="1" si="152"/>
        <v>#N/A</v>
      </c>
      <c r="AM202" s="285">
        <f t="shared" si="153"/>
        <v>3.5804949084388214E-2</v>
      </c>
      <c r="AN202" s="99">
        <f t="shared" si="154"/>
        <v>3.5860000000000003E-2</v>
      </c>
      <c r="AO202" s="99">
        <f t="shared" ref="AO202:AO259" si="174">AN202+AO201</f>
        <v>4.9144000000000007E-2</v>
      </c>
      <c r="AP202" s="99" t="e">
        <f t="shared" ca="1" si="155"/>
        <v>#N/A</v>
      </c>
      <c r="AQ202" s="161" t="e">
        <f t="shared" ref="AQ202:AQ259" ca="1" si="175">ROUND(AP202+AQ201,0)</f>
        <v>#N/A</v>
      </c>
      <c r="AR202" s="286" t="e">
        <f t="shared" ca="1" si="156"/>
        <v>#N/A</v>
      </c>
      <c r="AS202" s="285">
        <f t="shared" si="157"/>
        <v>7.9863244478421441E-2</v>
      </c>
      <c r="AT202" s="99">
        <f t="shared" si="158"/>
        <v>7.9904000000000003E-2</v>
      </c>
      <c r="AU202" s="99">
        <f t="shared" ref="AU202:AU259" si="176">AT202+AU201</f>
        <v>0.12520100000000001</v>
      </c>
      <c r="AV202" s="99" t="e">
        <f t="shared" ca="1" si="159"/>
        <v>#N/A</v>
      </c>
      <c r="AW202" s="161" t="e">
        <f t="shared" ref="AW202:AW259" ca="1" si="177">ROUND(AV202+AW201,0)</f>
        <v>#N/A</v>
      </c>
      <c r="AX202" s="286" t="e">
        <f t="shared" ca="1" si="160"/>
        <v>#N/A</v>
      </c>
    </row>
    <row r="203" spans="2:79" x14ac:dyDescent="0.25">
      <c r="B203" s="104">
        <f t="shared" si="164"/>
        <v>3</v>
      </c>
      <c r="C203" s="94">
        <v>4</v>
      </c>
      <c r="D203" s="94">
        <f t="shared" si="131"/>
        <v>0.11104815351609751</v>
      </c>
      <c r="E203" s="94">
        <f t="shared" si="132"/>
        <v>0.111078</v>
      </c>
      <c r="F203" s="94">
        <f t="shared" si="165"/>
        <v>0.24324099999999999</v>
      </c>
      <c r="G203" s="94" t="e">
        <f t="shared" ca="1" si="133"/>
        <v>#N/A</v>
      </c>
      <c r="H203" s="94" t="e">
        <f t="shared" ca="1" si="134"/>
        <v>#N/A</v>
      </c>
      <c r="I203" s="161" t="e">
        <f t="shared" ca="1" si="135"/>
        <v>#N/A</v>
      </c>
      <c r="J203" s="156" t="e">
        <f t="shared" ref="J203:J259" ca="1" si="178">IF(H203=0,"n/a",H203+J202)</f>
        <v>#N/A</v>
      </c>
      <c r="K203" s="160" t="e">
        <f t="shared" ca="1" si="161"/>
        <v>#N/A</v>
      </c>
      <c r="L203" s="101" t="e">
        <f t="shared" ca="1" si="136"/>
        <v>#N/A</v>
      </c>
      <c r="M203" s="101" t="e">
        <f t="shared" ca="1" si="137"/>
        <v>#N/A</v>
      </c>
      <c r="N203" s="101" t="e">
        <f t="shared" ca="1" si="162"/>
        <v>#N/A</v>
      </c>
      <c r="O203" s="285">
        <f t="shared" si="138"/>
        <v>0.11104815351609751</v>
      </c>
      <c r="P203" s="99">
        <f t="shared" si="139"/>
        <v>0.111078</v>
      </c>
      <c r="Q203" s="99">
        <f t="shared" si="166"/>
        <v>0.24324099999999999</v>
      </c>
      <c r="R203" s="99" t="e">
        <f t="shared" ca="1" si="140"/>
        <v>#N/A</v>
      </c>
      <c r="S203" s="161" t="e">
        <f t="shared" ca="1" si="167"/>
        <v>#N/A</v>
      </c>
      <c r="T203" s="286" t="e">
        <f t="shared" ca="1" si="141"/>
        <v>#N/A</v>
      </c>
      <c r="U203" s="285">
        <f t="shared" si="142"/>
        <v>0.18110431160426857</v>
      </c>
      <c r="V203" s="99">
        <f t="shared" si="143"/>
        <v>0.18113899999999999</v>
      </c>
      <c r="W203" s="99">
        <f t="shared" si="168"/>
        <v>0.41177000000000002</v>
      </c>
      <c r="X203" s="99" t="e">
        <f t="shared" ca="1" si="144"/>
        <v>#N/A</v>
      </c>
      <c r="Y203" s="161" t="e">
        <f t="shared" ca="1" si="169"/>
        <v>#N/A</v>
      </c>
      <c r="Z203" s="286" t="e">
        <f t="shared" ca="1" si="163"/>
        <v>#N/A</v>
      </c>
      <c r="AA203" s="285">
        <f t="shared" si="145"/>
        <v>6.2036361286667806E-2</v>
      </c>
      <c r="AB203" s="99">
        <f t="shared" si="146"/>
        <v>6.2882999999999994E-2</v>
      </c>
      <c r="AC203" s="99">
        <f t="shared" si="170"/>
        <v>0.152975</v>
      </c>
      <c r="AD203" s="99" t="e">
        <f t="shared" ca="1" si="147"/>
        <v>#N/A</v>
      </c>
      <c r="AE203" s="161" t="e">
        <f t="shared" ca="1" si="171"/>
        <v>#N/A</v>
      </c>
      <c r="AF203" s="286" t="e">
        <f t="shared" ca="1" si="148"/>
        <v>#N/A</v>
      </c>
      <c r="AG203" s="285">
        <f t="shared" si="149"/>
        <v>7.2243839991133957E-2</v>
      </c>
      <c r="AH203" s="99">
        <f t="shared" si="150"/>
        <v>7.2364999999999999E-2</v>
      </c>
      <c r="AI203" s="99">
        <f t="shared" si="172"/>
        <v>0.147954</v>
      </c>
      <c r="AJ203" s="99" t="e">
        <f t="shared" ca="1" si="151"/>
        <v>#N/A</v>
      </c>
      <c r="AK203" s="161" t="e">
        <f t="shared" ca="1" si="173"/>
        <v>#N/A</v>
      </c>
      <c r="AL203" s="286" t="e">
        <f t="shared" ca="1" si="152"/>
        <v>#N/A</v>
      </c>
      <c r="AM203" s="285">
        <f t="shared" si="153"/>
        <v>5.8187223317231911E-2</v>
      </c>
      <c r="AN203" s="99">
        <f t="shared" si="154"/>
        <v>5.8276000000000001E-2</v>
      </c>
      <c r="AO203" s="99">
        <f t="shared" si="174"/>
        <v>0.10742000000000002</v>
      </c>
      <c r="AP203" s="99" t="e">
        <f t="shared" ca="1" si="155"/>
        <v>#N/A</v>
      </c>
      <c r="AQ203" s="161" t="e">
        <f t="shared" ca="1" si="175"/>
        <v>#N/A</v>
      </c>
      <c r="AR203" s="286" t="e">
        <f t="shared" ca="1" si="156"/>
        <v>#N/A</v>
      </c>
      <c r="AS203" s="285">
        <f t="shared" si="157"/>
        <v>0.10128084922091396</v>
      </c>
      <c r="AT203" s="99">
        <f t="shared" si="158"/>
        <v>0.10133200000000001</v>
      </c>
      <c r="AU203" s="99">
        <f t="shared" si="176"/>
        <v>0.22653300000000001</v>
      </c>
      <c r="AV203" s="99" t="e">
        <f t="shared" ca="1" si="159"/>
        <v>#N/A</v>
      </c>
      <c r="AW203" s="161" t="e">
        <f t="shared" ca="1" si="177"/>
        <v>#N/A</v>
      </c>
      <c r="AX203" s="286" t="e">
        <f t="shared" ca="1" si="160"/>
        <v>#N/A</v>
      </c>
    </row>
    <row r="204" spans="2:79" x14ac:dyDescent="0.25">
      <c r="B204" s="104">
        <f t="shared" si="164"/>
        <v>4</v>
      </c>
      <c r="C204" s="94">
        <v>5</v>
      </c>
      <c r="D204" s="94">
        <f t="shared" si="131"/>
        <v>0.11527828582019288</v>
      </c>
      <c r="E204" s="94">
        <f t="shared" si="132"/>
        <v>0.11530899999999999</v>
      </c>
      <c r="F204" s="94">
        <f t="shared" si="165"/>
        <v>0.35854999999999998</v>
      </c>
      <c r="G204" s="94" t="e">
        <f t="shared" ca="1" si="133"/>
        <v>#N/A</v>
      </c>
      <c r="H204" s="94" t="e">
        <f t="shared" ca="1" si="134"/>
        <v>#N/A</v>
      </c>
      <c r="I204" s="161" t="e">
        <f t="shared" ca="1" si="135"/>
        <v>#N/A</v>
      </c>
      <c r="J204" s="156" t="e">
        <f t="shared" ca="1" si="178"/>
        <v>#N/A</v>
      </c>
      <c r="K204" s="160" t="e">
        <f t="shared" ca="1" si="161"/>
        <v>#N/A</v>
      </c>
      <c r="L204" s="101" t="e">
        <f t="shared" ca="1" si="136"/>
        <v>#N/A</v>
      </c>
      <c r="M204" s="101" t="e">
        <f t="shared" ca="1" si="137"/>
        <v>#N/A</v>
      </c>
      <c r="N204" s="101" t="e">
        <f t="shared" ca="1" si="162"/>
        <v>#N/A</v>
      </c>
      <c r="O204" s="285">
        <f t="shared" si="138"/>
        <v>0.11527828582019288</v>
      </c>
      <c r="P204" s="99">
        <f t="shared" si="139"/>
        <v>0.11530899999999999</v>
      </c>
      <c r="Q204" s="99">
        <f t="shared" si="166"/>
        <v>0.35854999999999998</v>
      </c>
      <c r="R204" s="99" t="e">
        <f t="shared" ca="1" si="140"/>
        <v>#N/A</v>
      </c>
      <c r="S204" s="161" t="e">
        <f t="shared" ca="1" si="167"/>
        <v>#N/A</v>
      </c>
      <c r="T204" s="286" t="e">
        <f t="shared" ca="1" si="141"/>
        <v>#N/A</v>
      </c>
      <c r="U204" s="285">
        <f t="shared" si="142"/>
        <v>0.16127598302583965</v>
      </c>
      <c r="V204" s="99">
        <f t="shared" si="143"/>
        <v>0.16130700000000001</v>
      </c>
      <c r="W204" s="99">
        <f t="shared" si="168"/>
        <v>0.57307700000000006</v>
      </c>
      <c r="X204" s="99" t="e">
        <f t="shared" ca="1" si="144"/>
        <v>#N/A</v>
      </c>
      <c r="Y204" s="161" t="e">
        <f t="shared" ca="1" si="169"/>
        <v>#N/A</v>
      </c>
      <c r="Z204" s="286" t="e">
        <f t="shared" ca="1" si="163"/>
        <v>#N/A</v>
      </c>
      <c r="AA204" s="285">
        <f t="shared" si="145"/>
        <v>6.6287928445060054E-2</v>
      </c>
      <c r="AB204" s="99">
        <f t="shared" si="146"/>
        <v>6.7193000000000003E-2</v>
      </c>
      <c r="AC204" s="99">
        <f t="shared" si="170"/>
        <v>0.220168</v>
      </c>
      <c r="AD204" s="99" t="e">
        <f t="shared" ca="1" si="147"/>
        <v>#N/A</v>
      </c>
      <c r="AE204" s="161" t="e">
        <f t="shared" ca="1" si="171"/>
        <v>#N/A</v>
      </c>
      <c r="AF204" s="286" t="e">
        <f t="shared" ca="1" si="148"/>
        <v>#N/A</v>
      </c>
      <c r="AG204" s="285">
        <f t="shared" si="149"/>
        <v>8.2893133421012025E-2</v>
      </c>
      <c r="AH204" s="99">
        <f t="shared" si="150"/>
        <v>8.3031999999999995E-2</v>
      </c>
      <c r="AI204" s="99">
        <f t="shared" si="172"/>
        <v>0.230986</v>
      </c>
      <c r="AJ204" s="99" t="e">
        <f t="shared" ca="1" si="151"/>
        <v>#N/A</v>
      </c>
      <c r="AK204" s="161" t="e">
        <f t="shared" ca="1" si="173"/>
        <v>#N/A</v>
      </c>
      <c r="AL204" s="286" t="e">
        <f t="shared" ca="1" si="152"/>
        <v>#N/A</v>
      </c>
      <c r="AM204" s="285">
        <f t="shared" si="153"/>
        <v>7.3045515146713647E-2</v>
      </c>
      <c r="AN204" s="99">
        <f t="shared" si="154"/>
        <v>7.3157E-2</v>
      </c>
      <c r="AO204" s="99">
        <f t="shared" si="174"/>
        <v>0.18057700000000002</v>
      </c>
      <c r="AP204" s="99" t="e">
        <f t="shared" ca="1" si="155"/>
        <v>#N/A</v>
      </c>
      <c r="AQ204" s="161" t="e">
        <f t="shared" ca="1" si="175"/>
        <v>#N/A</v>
      </c>
      <c r="AR204" s="286" t="e">
        <f t="shared" ca="1" si="156"/>
        <v>#N/A</v>
      </c>
      <c r="AS204" s="285">
        <f t="shared" si="157"/>
        <v>0.10577131720568293</v>
      </c>
      <c r="AT204" s="99">
        <f t="shared" si="158"/>
        <v>0.105825</v>
      </c>
      <c r="AU204" s="99">
        <f t="shared" si="176"/>
        <v>0.33235800000000004</v>
      </c>
      <c r="AV204" s="99" t="e">
        <f t="shared" ca="1" si="159"/>
        <v>#N/A</v>
      </c>
      <c r="AW204" s="161" t="e">
        <f t="shared" ca="1" si="177"/>
        <v>#N/A</v>
      </c>
      <c r="AX204" s="286" t="e">
        <f t="shared" ca="1" si="160"/>
        <v>#N/A</v>
      </c>
    </row>
    <row r="205" spans="2:79" x14ac:dyDescent="0.25">
      <c r="B205" s="104">
        <f t="shared" si="164"/>
        <v>5</v>
      </c>
      <c r="C205" s="94">
        <v>6</v>
      </c>
      <c r="D205" s="94">
        <f t="shared" si="131"/>
        <v>0.10741315519315243</v>
      </c>
      <c r="E205" s="94">
        <f t="shared" si="132"/>
        <v>0.107442</v>
      </c>
      <c r="F205" s="94">
        <f t="shared" si="165"/>
        <v>0.46599199999999996</v>
      </c>
      <c r="G205" s="94" t="e">
        <f t="shared" ca="1" si="133"/>
        <v>#N/A</v>
      </c>
      <c r="H205" s="94" t="e">
        <f t="shared" ca="1" si="134"/>
        <v>#N/A</v>
      </c>
      <c r="I205" s="161" t="e">
        <f t="shared" ca="1" si="135"/>
        <v>#N/A</v>
      </c>
      <c r="J205" s="156" t="e">
        <f t="shared" ca="1" si="178"/>
        <v>#N/A</v>
      </c>
      <c r="K205" s="160" t="e">
        <f t="shared" ca="1" si="161"/>
        <v>#N/A</v>
      </c>
      <c r="L205" s="101" t="e">
        <f t="shared" ca="1" si="136"/>
        <v>#N/A</v>
      </c>
      <c r="M205" s="101" t="e">
        <f t="shared" ca="1" si="137"/>
        <v>#N/A</v>
      </c>
      <c r="N205" s="101" t="e">
        <f t="shared" ca="1" si="162"/>
        <v>#N/A</v>
      </c>
      <c r="O205" s="285">
        <f t="shared" si="138"/>
        <v>0.10741315519315243</v>
      </c>
      <c r="P205" s="99">
        <f t="shared" si="139"/>
        <v>0.107442</v>
      </c>
      <c r="Q205" s="99">
        <f t="shared" si="166"/>
        <v>0.46599199999999996</v>
      </c>
      <c r="R205" s="99" t="e">
        <f t="shared" ca="1" si="140"/>
        <v>#N/A</v>
      </c>
      <c r="S205" s="161" t="e">
        <f t="shared" ca="1" si="167"/>
        <v>#N/A</v>
      </c>
      <c r="T205" s="286" t="e">
        <f t="shared" ca="1" si="141"/>
        <v>#N/A</v>
      </c>
      <c r="U205" s="285">
        <f t="shared" si="142"/>
        <v>0.1261329769636694</v>
      </c>
      <c r="V205" s="99">
        <f t="shared" si="143"/>
        <v>0.12615699999999999</v>
      </c>
      <c r="W205" s="99">
        <f t="shared" si="168"/>
        <v>0.69923400000000002</v>
      </c>
      <c r="X205" s="99" t="e">
        <f t="shared" ca="1" si="144"/>
        <v>#N/A</v>
      </c>
      <c r="Y205" s="161" t="e">
        <f t="shared" ca="1" si="169"/>
        <v>#N/A</v>
      </c>
      <c r="Z205" s="286" t="e">
        <f t="shared" ca="1" si="163"/>
        <v>#N/A</v>
      </c>
      <c r="AA205" s="285">
        <f t="shared" si="145"/>
        <v>6.6069176036870264E-2</v>
      </c>
      <c r="AB205" s="99">
        <f t="shared" si="146"/>
        <v>6.6971000000000003E-2</v>
      </c>
      <c r="AC205" s="99">
        <f t="shared" si="170"/>
        <v>0.28713900000000003</v>
      </c>
      <c r="AD205" s="99" t="e">
        <f t="shared" ca="1" si="147"/>
        <v>#N/A</v>
      </c>
      <c r="AE205" s="161" t="e">
        <f t="shared" ca="1" si="171"/>
        <v>#N/A</v>
      </c>
      <c r="AF205" s="286" t="e">
        <f t="shared" ca="1" si="148"/>
        <v>#N/A</v>
      </c>
      <c r="AG205" s="285">
        <f t="shared" si="149"/>
        <v>8.5025633655815766E-2</v>
      </c>
      <c r="AH205" s="99">
        <f t="shared" si="150"/>
        <v>8.5168999999999995E-2</v>
      </c>
      <c r="AI205" s="99">
        <f t="shared" si="172"/>
        <v>0.31615499999999996</v>
      </c>
      <c r="AJ205" s="99" t="e">
        <f t="shared" ca="1" si="151"/>
        <v>#N/A</v>
      </c>
      <c r="AK205" s="161" t="e">
        <f t="shared" ca="1" si="173"/>
        <v>#N/A</v>
      </c>
      <c r="AL205" s="286" t="e">
        <f t="shared" ca="1" si="152"/>
        <v>#N/A</v>
      </c>
      <c r="AM205" s="285">
        <f t="shared" si="153"/>
        <v>7.9847307011954291E-2</v>
      </c>
      <c r="AN205" s="99">
        <f t="shared" si="154"/>
        <v>7.9968999999999998E-2</v>
      </c>
      <c r="AO205" s="99">
        <f t="shared" si="174"/>
        <v>0.260546</v>
      </c>
      <c r="AP205" s="99" t="e">
        <f t="shared" ca="1" si="155"/>
        <v>#N/A</v>
      </c>
      <c r="AQ205" s="161" t="e">
        <f t="shared" ca="1" si="175"/>
        <v>#N/A</v>
      </c>
      <c r="AR205" s="286" t="e">
        <f t="shared" ca="1" si="156"/>
        <v>#N/A</v>
      </c>
      <c r="AS205" s="285">
        <f t="shared" si="157"/>
        <v>0.10001757269913929</v>
      </c>
      <c r="AT205" s="99">
        <f t="shared" si="158"/>
        <v>0.100068</v>
      </c>
      <c r="AU205" s="99">
        <f t="shared" si="176"/>
        <v>0.43242600000000003</v>
      </c>
      <c r="AV205" s="99" t="e">
        <f t="shared" ca="1" si="159"/>
        <v>#N/A</v>
      </c>
      <c r="AW205" s="161" t="e">
        <f t="shared" ca="1" si="177"/>
        <v>#N/A</v>
      </c>
      <c r="AX205" s="286" t="e">
        <f t="shared" ca="1" si="160"/>
        <v>#N/A</v>
      </c>
    </row>
    <row r="206" spans="2:79" x14ac:dyDescent="0.25">
      <c r="B206" s="104">
        <f t="shared" si="164"/>
        <v>6</v>
      </c>
      <c r="C206" s="94">
        <v>7</v>
      </c>
      <c r="D206" s="94">
        <f t="shared" si="131"/>
        <v>9.424730869960074E-2</v>
      </c>
      <c r="E206" s="94">
        <f t="shared" si="132"/>
        <v>9.4272999999999996E-2</v>
      </c>
      <c r="F206" s="94">
        <f t="shared" si="165"/>
        <v>0.56026500000000001</v>
      </c>
      <c r="G206" s="94" t="e">
        <f t="shared" ca="1" si="133"/>
        <v>#N/A</v>
      </c>
      <c r="H206" s="94" t="e">
        <f t="shared" ca="1" si="134"/>
        <v>#N/A</v>
      </c>
      <c r="I206" s="161" t="e">
        <f t="shared" ca="1" si="135"/>
        <v>#N/A</v>
      </c>
      <c r="J206" s="156" t="e">
        <f t="shared" ca="1" si="178"/>
        <v>#N/A</v>
      </c>
      <c r="K206" s="160" t="e">
        <f t="shared" ca="1" si="161"/>
        <v>#N/A</v>
      </c>
      <c r="L206" s="101" t="e">
        <f t="shared" ca="1" si="136"/>
        <v>#N/A</v>
      </c>
      <c r="M206" s="101" t="e">
        <f t="shared" ca="1" si="137"/>
        <v>#N/A</v>
      </c>
      <c r="N206" s="101" t="e">
        <f t="shared" ca="1" si="162"/>
        <v>#N/A</v>
      </c>
      <c r="O206" s="285">
        <f t="shared" si="138"/>
        <v>9.424730869960074E-2</v>
      </c>
      <c r="P206" s="99">
        <f t="shared" si="139"/>
        <v>9.4272999999999996E-2</v>
      </c>
      <c r="Q206" s="99">
        <f t="shared" si="166"/>
        <v>0.56026500000000001</v>
      </c>
      <c r="R206" s="99" t="e">
        <f t="shared" ca="1" si="140"/>
        <v>#N/A</v>
      </c>
      <c r="S206" s="161" t="e">
        <f t="shared" ca="1" si="167"/>
        <v>#N/A</v>
      </c>
      <c r="T206" s="286" t="e">
        <f t="shared" ca="1" si="141"/>
        <v>#N/A</v>
      </c>
      <c r="U206" s="285">
        <f t="shared" si="142"/>
        <v>9.2163234198371677E-2</v>
      </c>
      <c r="V206" s="99">
        <f t="shared" si="143"/>
        <v>9.2180999999999999E-2</v>
      </c>
      <c r="W206" s="99">
        <f t="shared" si="168"/>
        <v>0.79141499999999998</v>
      </c>
      <c r="X206" s="99" t="e">
        <f t="shared" ca="1" si="144"/>
        <v>#N/A</v>
      </c>
      <c r="Y206" s="161" t="e">
        <f t="shared" ca="1" si="169"/>
        <v>#N/A</v>
      </c>
      <c r="Z206" s="286" t="e">
        <f t="shared" ca="1" si="163"/>
        <v>#N/A</v>
      </c>
      <c r="AA206" s="285">
        <f t="shared" si="145"/>
        <v>6.3281191125273972E-2</v>
      </c>
      <c r="AB206" s="99">
        <f t="shared" si="146"/>
        <v>6.4144999999999994E-2</v>
      </c>
      <c r="AC206" s="99">
        <f t="shared" si="170"/>
        <v>0.35128400000000004</v>
      </c>
      <c r="AD206" s="99" t="e">
        <f t="shared" ca="1" si="147"/>
        <v>#N/A</v>
      </c>
      <c r="AE206" s="161" t="e">
        <f t="shared" ca="1" si="171"/>
        <v>#N/A</v>
      </c>
      <c r="AF206" s="286" t="e">
        <f t="shared" ca="1" si="148"/>
        <v>#N/A</v>
      </c>
      <c r="AG206" s="285">
        <f t="shared" si="149"/>
        <v>8.1730158902806854E-2</v>
      </c>
      <c r="AH206" s="99">
        <f t="shared" si="150"/>
        <v>8.1867999999999996E-2</v>
      </c>
      <c r="AI206" s="99">
        <f t="shared" si="172"/>
        <v>0.39802299999999996</v>
      </c>
      <c r="AJ206" s="99" t="e">
        <f t="shared" ca="1" si="151"/>
        <v>#N/A</v>
      </c>
      <c r="AK206" s="161" t="e">
        <f t="shared" ca="1" si="173"/>
        <v>#N/A</v>
      </c>
      <c r="AL206" s="286" t="e">
        <f t="shared" ca="1" si="152"/>
        <v>#N/A</v>
      </c>
      <c r="AM206" s="285">
        <f t="shared" si="153"/>
        <v>8.0438266398665428E-2</v>
      </c>
      <c r="AN206" s="99">
        <f t="shared" si="154"/>
        <v>8.0560999999999994E-2</v>
      </c>
      <c r="AO206" s="99">
        <f t="shared" si="174"/>
        <v>0.34110699999999999</v>
      </c>
      <c r="AP206" s="99" t="e">
        <f t="shared" ca="1" si="155"/>
        <v>#N/A</v>
      </c>
      <c r="AQ206" s="161" t="e">
        <f t="shared" ca="1" si="175"/>
        <v>#N/A</v>
      </c>
      <c r="AR206" s="286" t="e">
        <f t="shared" ca="1" si="156"/>
        <v>#N/A</v>
      </c>
      <c r="AS206" s="285">
        <f t="shared" si="157"/>
        <v>8.9473381741231484E-2</v>
      </c>
      <c r="AT206" s="99">
        <f t="shared" si="158"/>
        <v>8.9518E-2</v>
      </c>
      <c r="AU206" s="99">
        <f t="shared" si="176"/>
        <v>0.52194400000000007</v>
      </c>
      <c r="AV206" s="99" t="e">
        <f t="shared" ca="1" si="159"/>
        <v>#N/A</v>
      </c>
      <c r="AW206" s="161" t="e">
        <f t="shared" ca="1" si="177"/>
        <v>#N/A</v>
      </c>
      <c r="AX206" s="286" t="e">
        <f t="shared" ca="1" si="160"/>
        <v>#N/A</v>
      </c>
    </row>
    <row r="207" spans="2:79" x14ac:dyDescent="0.25">
      <c r="B207" s="104">
        <f t="shared" si="164"/>
        <v>7</v>
      </c>
      <c r="C207" s="94">
        <v>8</v>
      </c>
      <c r="D207" s="94">
        <f t="shared" si="131"/>
        <v>7.984268369494496E-2</v>
      </c>
      <c r="E207" s="94">
        <f t="shared" si="132"/>
        <v>7.9864000000000004E-2</v>
      </c>
      <c r="F207" s="94">
        <f t="shared" si="165"/>
        <v>0.64012900000000006</v>
      </c>
      <c r="G207" s="94" t="e">
        <f t="shared" ca="1" si="133"/>
        <v>#N/A</v>
      </c>
      <c r="H207" s="94" t="e">
        <f t="shared" ca="1" si="134"/>
        <v>#N/A</v>
      </c>
      <c r="I207" s="161" t="e">
        <f t="shared" ca="1" si="135"/>
        <v>#N/A</v>
      </c>
      <c r="J207" s="156" t="e">
        <f t="shared" ca="1" si="178"/>
        <v>#N/A</v>
      </c>
      <c r="K207" s="160" t="e">
        <f t="shared" ca="1" si="161"/>
        <v>#N/A</v>
      </c>
      <c r="L207" s="101" t="e">
        <f t="shared" ca="1" si="136"/>
        <v>#N/A</v>
      </c>
      <c r="M207" s="101" t="e">
        <f t="shared" ca="1" si="137"/>
        <v>#N/A</v>
      </c>
      <c r="N207" s="101" t="e">
        <f t="shared" ca="1" si="162"/>
        <v>#N/A</v>
      </c>
      <c r="O207" s="285">
        <f t="shared" si="138"/>
        <v>7.984268369494496E-2</v>
      </c>
      <c r="P207" s="99">
        <f t="shared" si="139"/>
        <v>7.9864000000000004E-2</v>
      </c>
      <c r="Q207" s="99">
        <f t="shared" si="166"/>
        <v>0.64012900000000006</v>
      </c>
      <c r="R207" s="99" t="e">
        <f t="shared" ca="1" si="140"/>
        <v>#N/A</v>
      </c>
      <c r="S207" s="161" t="e">
        <f t="shared" ca="1" si="167"/>
        <v>#N/A</v>
      </c>
      <c r="T207" s="286" t="e">
        <f t="shared" ca="1" si="141"/>
        <v>#N/A</v>
      </c>
      <c r="U207" s="285">
        <f t="shared" si="142"/>
        <v>6.4927497927352515E-2</v>
      </c>
      <c r="V207" s="99">
        <f t="shared" si="143"/>
        <v>6.4939999999999998E-2</v>
      </c>
      <c r="W207" s="99">
        <f t="shared" si="168"/>
        <v>0.85635499999999998</v>
      </c>
      <c r="X207" s="99" t="e">
        <f t="shared" ca="1" si="144"/>
        <v>#N/A</v>
      </c>
      <c r="Y207" s="161" t="e">
        <f t="shared" ca="1" si="169"/>
        <v>#N/A</v>
      </c>
      <c r="Z207" s="286" t="e">
        <f t="shared" ca="1" si="163"/>
        <v>#N/A</v>
      </c>
      <c r="AA207" s="285">
        <f t="shared" si="145"/>
        <v>5.9167900428949788E-2</v>
      </c>
      <c r="AB207" s="99">
        <f t="shared" si="146"/>
        <v>5.9976000000000002E-2</v>
      </c>
      <c r="AC207" s="99">
        <f t="shared" si="170"/>
        <v>0.41126000000000007</v>
      </c>
      <c r="AD207" s="99" t="e">
        <f t="shared" ca="1" si="147"/>
        <v>#N/A</v>
      </c>
      <c r="AE207" s="161" t="e">
        <f t="shared" ca="1" si="171"/>
        <v>#N/A</v>
      </c>
      <c r="AF207" s="286" t="e">
        <f t="shared" ca="1" si="148"/>
        <v>#N/A</v>
      </c>
      <c r="AG207" s="285">
        <f t="shared" si="149"/>
        <v>7.5489857480263323E-2</v>
      </c>
      <c r="AH207" s="99">
        <f t="shared" si="150"/>
        <v>7.5617000000000004E-2</v>
      </c>
      <c r="AI207" s="99">
        <f t="shared" si="172"/>
        <v>0.47363999999999995</v>
      </c>
      <c r="AJ207" s="99" t="e">
        <f t="shared" ca="1" si="151"/>
        <v>#N/A</v>
      </c>
      <c r="AK207" s="161" t="e">
        <f t="shared" ca="1" si="173"/>
        <v>#N/A</v>
      </c>
      <c r="AL207" s="286" t="e">
        <f t="shared" ca="1" si="152"/>
        <v>#N/A</v>
      </c>
      <c r="AM207" s="285">
        <f t="shared" si="153"/>
        <v>7.6983157623102635E-2</v>
      </c>
      <c r="AN207" s="99">
        <f t="shared" si="154"/>
        <v>7.7101000000000003E-2</v>
      </c>
      <c r="AO207" s="99">
        <f t="shared" si="174"/>
        <v>0.41820800000000002</v>
      </c>
      <c r="AP207" s="99" t="e">
        <f t="shared" ca="1" si="155"/>
        <v>#N/A</v>
      </c>
      <c r="AQ207" s="161" t="e">
        <f t="shared" ca="1" si="175"/>
        <v>#N/A</v>
      </c>
      <c r="AR207" s="286" t="e">
        <f t="shared" ca="1" si="156"/>
        <v>#N/A</v>
      </c>
      <c r="AS207" s="285">
        <f t="shared" si="157"/>
        <v>7.7474860050435537E-2</v>
      </c>
      <c r="AT207" s="99">
        <f t="shared" si="158"/>
        <v>7.7514E-2</v>
      </c>
      <c r="AU207" s="99">
        <f t="shared" si="176"/>
        <v>0.59945800000000005</v>
      </c>
      <c r="AV207" s="99" t="e">
        <f t="shared" ca="1" si="159"/>
        <v>#N/A</v>
      </c>
      <c r="AW207" s="161" t="e">
        <f t="shared" ca="1" si="177"/>
        <v>#N/A</v>
      </c>
      <c r="AX207" s="286" t="e">
        <f t="shared" ca="1" si="160"/>
        <v>#N/A</v>
      </c>
    </row>
    <row r="208" spans="2:79" x14ac:dyDescent="0.25">
      <c r="B208" s="104">
        <f t="shared" si="164"/>
        <v>8</v>
      </c>
      <c r="C208" s="94">
        <v>9</v>
      </c>
      <c r="D208" s="94">
        <f t="shared" si="131"/>
        <v>6.6236325197247689E-2</v>
      </c>
      <c r="E208" s="94">
        <f t="shared" si="132"/>
        <v>6.6253999999999993E-2</v>
      </c>
      <c r="F208" s="94">
        <f t="shared" si="165"/>
        <v>0.70638300000000009</v>
      </c>
      <c r="G208" s="94" t="e">
        <f t="shared" ca="1" si="133"/>
        <v>#N/A</v>
      </c>
      <c r="H208" s="94" t="e">
        <f t="shared" ca="1" si="134"/>
        <v>#N/A</v>
      </c>
      <c r="I208" s="161" t="e">
        <f t="shared" ref="I208:I258" ca="1" si="179">IF((NOT(J208="n/a")),J208,ROUND(G208+I207,0))</f>
        <v>#N/A</v>
      </c>
      <c r="J208" s="156" t="e">
        <f t="shared" ca="1" si="178"/>
        <v>#N/A</v>
      </c>
      <c r="K208" s="160" t="e">
        <f t="shared" ca="1" si="161"/>
        <v>#N/A</v>
      </c>
      <c r="L208" s="101" t="e">
        <f t="shared" ca="1" si="136"/>
        <v>#N/A</v>
      </c>
      <c r="M208" s="101" t="e">
        <f t="shared" ca="1" si="137"/>
        <v>#N/A</v>
      </c>
      <c r="N208" s="101" t="e">
        <f t="shared" ca="1" si="162"/>
        <v>#N/A</v>
      </c>
      <c r="O208" s="285">
        <f t="shared" si="138"/>
        <v>6.6236325197247689E-2</v>
      </c>
      <c r="P208" s="99">
        <f t="shared" si="139"/>
        <v>6.6253999999999993E-2</v>
      </c>
      <c r="Q208" s="99">
        <f t="shared" si="166"/>
        <v>0.70638300000000009</v>
      </c>
      <c r="R208" s="99" t="e">
        <f t="shared" ca="1" si="140"/>
        <v>#N/A</v>
      </c>
      <c r="S208" s="161" t="e">
        <f t="shared" ca="1" si="167"/>
        <v>#N/A</v>
      </c>
      <c r="T208" s="286" t="e">
        <f t="shared" ca="1" si="141"/>
        <v>#N/A</v>
      </c>
      <c r="U208" s="285">
        <f t="shared" si="142"/>
        <v>4.4872095674499402E-2</v>
      </c>
      <c r="V208" s="99">
        <f t="shared" si="143"/>
        <v>4.4880999999999997E-2</v>
      </c>
      <c r="W208" s="99">
        <f t="shared" si="168"/>
        <v>0.90123599999999993</v>
      </c>
      <c r="X208" s="99" t="e">
        <f t="shared" ca="1" si="144"/>
        <v>#N/A</v>
      </c>
      <c r="Y208" s="161" t="e">
        <f t="shared" ca="1" si="169"/>
        <v>#N/A</v>
      </c>
      <c r="Z208" s="286" t="e">
        <f t="shared" ca="1" si="163"/>
        <v>#N/A</v>
      </c>
      <c r="AA208" s="285">
        <f t="shared" si="145"/>
        <v>5.4493775913654417E-2</v>
      </c>
      <c r="AB208" s="99">
        <f t="shared" si="146"/>
        <v>5.5238000000000002E-2</v>
      </c>
      <c r="AC208" s="99">
        <f t="shared" si="170"/>
        <v>0.46649800000000008</v>
      </c>
      <c r="AD208" s="99" t="e">
        <f t="shared" ca="1" si="147"/>
        <v>#N/A</v>
      </c>
      <c r="AE208" s="161" t="e">
        <f t="shared" ca="1" si="171"/>
        <v>#N/A</v>
      </c>
      <c r="AF208" s="286" t="e">
        <f t="shared" ca="1" si="148"/>
        <v>#N/A</v>
      </c>
      <c r="AG208" s="285">
        <f t="shared" si="149"/>
        <v>6.7973981865186578E-2</v>
      </c>
      <c r="AH208" s="99">
        <f t="shared" si="150"/>
        <v>6.8087999999999996E-2</v>
      </c>
      <c r="AI208" s="99">
        <f t="shared" si="172"/>
        <v>0.54172799999999999</v>
      </c>
      <c r="AJ208" s="99" t="e">
        <f t="shared" ca="1" si="151"/>
        <v>#N/A</v>
      </c>
      <c r="AK208" s="161" t="e">
        <f t="shared" ca="1" si="173"/>
        <v>#N/A</v>
      </c>
      <c r="AL208" s="286" t="e">
        <f t="shared" ca="1" si="152"/>
        <v>#N/A</v>
      </c>
      <c r="AM208" s="285">
        <f t="shared" si="153"/>
        <v>7.124390340542415E-2</v>
      </c>
      <c r="AN208" s="99">
        <f t="shared" si="154"/>
        <v>7.1353E-2</v>
      </c>
      <c r="AO208" s="99">
        <f t="shared" si="174"/>
        <v>0.48956100000000002</v>
      </c>
      <c r="AP208" s="99" t="e">
        <f t="shared" ca="1" si="155"/>
        <v>#N/A</v>
      </c>
      <c r="AQ208" s="161" t="e">
        <f t="shared" ca="1" si="175"/>
        <v>#N/A</v>
      </c>
      <c r="AR208" s="286" t="e">
        <f t="shared" ca="1" si="156"/>
        <v>#N/A</v>
      </c>
      <c r="AS208" s="285">
        <f t="shared" si="157"/>
        <v>6.5782767622335425E-2</v>
      </c>
      <c r="AT208" s="99">
        <f t="shared" si="158"/>
        <v>6.5816E-2</v>
      </c>
      <c r="AU208" s="99">
        <f t="shared" si="176"/>
        <v>0.66527400000000003</v>
      </c>
      <c r="AV208" s="99" t="e">
        <f t="shared" ca="1" si="159"/>
        <v>#N/A</v>
      </c>
      <c r="AW208" s="161" t="e">
        <f t="shared" ca="1" si="177"/>
        <v>#N/A</v>
      </c>
      <c r="AX208" s="286" t="e">
        <f t="shared" ca="1" si="160"/>
        <v>#N/A</v>
      </c>
    </row>
    <row r="209" spans="2:64" x14ac:dyDescent="0.25">
      <c r="B209" s="104">
        <f t="shared" si="164"/>
        <v>9</v>
      </c>
      <c r="C209" s="94">
        <v>10</v>
      </c>
      <c r="D209" s="94">
        <f t="shared" si="131"/>
        <v>5.426697552751053E-2</v>
      </c>
      <c r="E209" s="94">
        <f t="shared" si="132"/>
        <v>5.4281999999999997E-2</v>
      </c>
      <c r="F209" s="94">
        <f t="shared" si="165"/>
        <v>0.76066500000000015</v>
      </c>
      <c r="G209" s="94" t="e">
        <f t="shared" ca="1" si="133"/>
        <v>#N/A</v>
      </c>
      <c r="H209" s="94" t="e">
        <f t="shared" ca="1" si="134"/>
        <v>#N/A</v>
      </c>
      <c r="I209" s="161" t="e">
        <f t="shared" ca="1" si="179"/>
        <v>#N/A</v>
      </c>
      <c r="J209" s="156" t="e">
        <f t="shared" ca="1" si="178"/>
        <v>#N/A</v>
      </c>
      <c r="K209" s="160" t="e">
        <f t="shared" ca="1" si="161"/>
        <v>#N/A</v>
      </c>
      <c r="L209" s="101" t="e">
        <f t="shared" ca="1" si="136"/>
        <v>#N/A</v>
      </c>
      <c r="M209" s="101" t="e">
        <f t="shared" ca="1" si="137"/>
        <v>#N/A</v>
      </c>
      <c r="N209" s="101" t="e">
        <f t="shared" ca="1" si="162"/>
        <v>#N/A</v>
      </c>
      <c r="O209" s="285">
        <f t="shared" si="138"/>
        <v>5.426697552751053E-2</v>
      </c>
      <c r="P209" s="99">
        <f t="shared" si="139"/>
        <v>5.4281999999999997E-2</v>
      </c>
      <c r="Q209" s="99">
        <f t="shared" si="166"/>
        <v>0.76066500000000015</v>
      </c>
      <c r="R209" s="99" t="e">
        <f t="shared" ca="1" si="140"/>
        <v>#N/A</v>
      </c>
      <c r="S209" s="161" t="e">
        <f t="shared" ca="1" si="167"/>
        <v>#N/A</v>
      </c>
      <c r="T209" s="286" t="e">
        <f t="shared" ca="1" si="141"/>
        <v>#N/A</v>
      </c>
      <c r="U209" s="285">
        <f t="shared" si="142"/>
        <v>3.0731634933393429E-2</v>
      </c>
      <c r="V209" s="99">
        <f t="shared" si="143"/>
        <v>3.0738000000000001E-2</v>
      </c>
      <c r="W209" s="99">
        <f t="shared" si="168"/>
        <v>0.93197399999999997</v>
      </c>
      <c r="X209" s="99" t="e">
        <f t="shared" ca="1" si="144"/>
        <v>#N/A</v>
      </c>
      <c r="Y209" s="161" t="e">
        <f t="shared" ca="1" si="169"/>
        <v>#N/A</v>
      </c>
      <c r="Z209" s="286" t="e">
        <f t="shared" ca="1" si="163"/>
        <v>#N/A</v>
      </c>
      <c r="AA209" s="285">
        <f t="shared" si="145"/>
        <v>4.9709554295967538E-2</v>
      </c>
      <c r="AB209" s="99">
        <f t="shared" si="146"/>
        <v>5.0388000000000002E-2</v>
      </c>
      <c r="AC209" s="99">
        <f t="shared" si="170"/>
        <v>0.51688600000000007</v>
      </c>
      <c r="AD209" s="99" t="e">
        <f t="shared" ca="1" si="147"/>
        <v>#N/A</v>
      </c>
      <c r="AE209" s="161" t="e">
        <f t="shared" ca="1" si="171"/>
        <v>#N/A</v>
      </c>
      <c r="AF209" s="286" t="e">
        <f t="shared" ca="1" si="148"/>
        <v>#N/A</v>
      </c>
      <c r="AG209" s="285">
        <f t="shared" si="149"/>
        <v>6.0199255397116104E-2</v>
      </c>
      <c r="AH209" s="99">
        <f t="shared" si="150"/>
        <v>6.0299999999999999E-2</v>
      </c>
      <c r="AI209" s="99">
        <f t="shared" si="172"/>
        <v>0.60202800000000001</v>
      </c>
      <c r="AJ209" s="99" t="e">
        <f t="shared" ca="1" si="151"/>
        <v>#N/A</v>
      </c>
      <c r="AK209" s="161" t="e">
        <f t="shared" ca="1" si="173"/>
        <v>#N/A</v>
      </c>
      <c r="AL209" s="286" t="e">
        <f t="shared" ca="1" si="152"/>
        <v>#N/A</v>
      </c>
      <c r="AM209" s="285">
        <f t="shared" si="153"/>
        <v>6.445867259441472E-2</v>
      </c>
      <c r="AN209" s="99">
        <f t="shared" si="154"/>
        <v>6.4557000000000003E-2</v>
      </c>
      <c r="AO209" s="99">
        <f t="shared" si="174"/>
        <v>0.554118</v>
      </c>
      <c r="AP209" s="99" t="e">
        <f t="shared" ca="1" si="155"/>
        <v>#N/A</v>
      </c>
      <c r="AQ209" s="161" t="e">
        <f t="shared" ca="1" si="175"/>
        <v>#N/A</v>
      </c>
      <c r="AR209" s="286" t="e">
        <f t="shared" ca="1" si="156"/>
        <v>#N/A</v>
      </c>
      <c r="AS209" s="285">
        <f t="shared" si="157"/>
        <v>5.5199570879851272E-2</v>
      </c>
      <c r="AT209" s="99">
        <f t="shared" si="158"/>
        <v>5.5226999999999998E-2</v>
      </c>
      <c r="AU209" s="99">
        <f t="shared" si="176"/>
        <v>0.72050100000000006</v>
      </c>
      <c r="AV209" s="99" t="e">
        <f t="shared" ca="1" si="159"/>
        <v>#N/A</v>
      </c>
      <c r="AW209" s="161" t="e">
        <f t="shared" ca="1" si="177"/>
        <v>#N/A</v>
      </c>
      <c r="AX209" s="286" t="e">
        <f t="shared" ca="1" si="160"/>
        <v>#N/A</v>
      </c>
    </row>
    <row r="210" spans="2:64" x14ac:dyDescent="0.25">
      <c r="B210" s="104">
        <f t="shared" si="164"/>
        <v>10</v>
      </c>
      <c r="C210" s="94">
        <v>11</v>
      </c>
      <c r="D210" s="94">
        <f t="shared" si="131"/>
        <v>4.4142780979517522E-2</v>
      </c>
      <c r="E210" s="94">
        <f t="shared" si="132"/>
        <v>4.4155E-2</v>
      </c>
      <c r="F210" s="94">
        <f t="shared" si="165"/>
        <v>0.80482000000000009</v>
      </c>
      <c r="G210" s="94" t="e">
        <f t="shared" ca="1" si="133"/>
        <v>#N/A</v>
      </c>
      <c r="H210" s="94" t="e">
        <f t="shared" ca="1" si="134"/>
        <v>#N/A</v>
      </c>
      <c r="I210" s="161" t="e">
        <f t="shared" ca="1" si="179"/>
        <v>#N/A</v>
      </c>
      <c r="J210" s="156" t="e">
        <f t="shared" ca="1" si="178"/>
        <v>#N/A</v>
      </c>
      <c r="K210" s="160" t="e">
        <f t="shared" ca="1" si="161"/>
        <v>#N/A</v>
      </c>
      <c r="L210" s="101" t="e">
        <f t="shared" ca="1" si="136"/>
        <v>#N/A</v>
      </c>
      <c r="M210" s="101" t="e">
        <f t="shared" ca="1" si="137"/>
        <v>#N/A</v>
      </c>
      <c r="N210" s="101" t="e">
        <f t="shared" ca="1" si="162"/>
        <v>#N/A</v>
      </c>
      <c r="O210" s="285">
        <f t="shared" si="138"/>
        <v>4.4142780979517522E-2</v>
      </c>
      <c r="P210" s="99">
        <f t="shared" si="139"/>
        <v>4.4155E-2</v>
      </c>
      <c r="Q210" s="99">
        <f t="shared" si="166"/>
        <v>0.80482000000000009</v>
      </c>
      <c r="R210" s="99" t="e">
        <f t="shared" ca="1" si="140"/>
        <v>#N/A</v>
      </c>
      <c r="S210" s="161" t="e">
        <f t="shared" ca="1" si="167"/>
        <v>#N/A</v>
      </c>
      <c r="T210" s="286" t="e">
        <f t="shared" ca="1" si="141"/>
        <v>#N/A</v>
      </c>
      <c r="U210" s="285">
        <f t="shared" si="142"/>
        <v>2.0984831053098434E-2</v>
      </c>
      <c r="V210" s="99">
        <f t="shared" si="143"/>
        <v>2.0989000000000001E-2</v>
      </c>
      <c r="W210" s="99">
        <f t="shared" si="168"/>
        <v>0.952963</v>
      </c>
      <c r="X210" s="99" t="e">
        <f t="shared" ca="1" si="144"/>
        <v>#N/A</v>
      </c>
      <c r="Y210" s="161" t="e">
        <f t="shared" ca="1" si="169"/>
        <v>#N/A</v>
      </c>
      <c r="Z210" s="286" t="e">
        <f t="shared" ca="1" si="163"/>
        <v>#N/A</v>
      </c>
      <c r="AA210" s="285">
        <f t="shared" si="145"/>
        <v>4.5069487747809105E-2</v>
      </c>
      <c r="AB210" s="99">
        <f t="shared" si="146"/>
        <v>4.5685000000000003E-2</v>
      </c>
      <c r="AC210" s="99">
        <f t="shared" si="170"/>
        <v>0.56257100000000004</v>
      </c>
      <c r="AD210" s="99" t="e">
        <f t="shared" ca="1" si="147"/>
        <v>#N/A</v>
      </c>
      <c r="AE210" s="161" t="e">
        <f t="shared" ca="1" si="171"/>
        <v>#N/A</v>
      </c>
      <c r="AF210" s="286" t="e">
        <f t="shared" ca="1" si="148"/>
        <v>#N/A</v>
      </c>
      <c r="AG210" s="285">
        <f t="shared" si="149"/>
        <v>5.2735342931846403E-2</v>
      </c>
      <c r="AH210" s="99">
        <f t="shared" si="150"/>
        <v>5.2824000000000003E-2</v>
      </c>
      <c r="AI210" s="99">
        <f t="shared" si="172"/>
        <v>0.65485199999999999</v>
      </c>
      <c r="AJ210" s="99" t="e">
        <f t="shared" ca="1" si="151"/>
        <v>#N/A</v>
      </c>
      <c r="AK210" s="161" t="e">
        <f t="shared" ca="1" si="173"/>
        <v>#N/A</v>
      </c>
      <c r="AL210" s="286" t="e">
        <f t="shared" ca="1" si="152"/>
        <v>#N/A</v>
      </c>
      <c r="AM210" s="285">
        <f t="shared" si="153"/>
        <v>5.7423145761915054E-2</v>
      </c>
      <c r="AN210" s="99">
        <f t="shared" si="154"/>
        <v>5.7511E-2</v>
      </c>
      <c r="AO210" s="99">
        <f t="shared" si="174"/>
        <v>0.61162899999999998</v>
      </c>
      <c r="AP210" s="99" t="e">
        <f t="shared" ca="1" si="155"/>
        <v>#N/A</v>
      </c>
      <c r="AQ210" s="161" t="e">
        <f t="shared" ca="1" si="175"/>
        <v>#N/A</v>
      </c>
      <c r="AR210" s="286" t="e">
        <f t="shared" ca="1" si="156"/>
        <v>#N/A</v>
      </c>
      <c r="AS210" s="285">
        <f t="shared" si="157"/>
        <v>4.6000045624271471E-2</v>
      </c>
      <c r="AT210" s="99">
        <f t="shared" si="158"/>
        <v>4.6023000000000001E-2</v>
      </c>
      <c r="AU210" s="99">
        <f t="shared" si="176"/>
        <v>0.76652400000000009</v>
      </c>
      <c r="AV210" s="99" t="e">
        <f t="shared" ca="1" si="159"/>
        <v>#N/A</v>
      </c>
      <c r="AW210" s="161" t="e">
        <f t="shared" ca="1" si="177"/>
        <v>#N/A</v>
      </c>
      <c r="AX210" s="286" t="e">
        <f t="shared" ca="1" si="160"/>
        <v>#N/A</v>
      </c>
    </row>
    <row r="211" spans="2:64" x14ac:dyDescent="0.25">
      <c r="B211" s="104">
        <f t="shared" si="164"/>
        <v>11</v>
      </c>
      <c r="C211" s="94">
        <v>12</v>
      </c>
      <c r="D211" s="94">
        <f t="shared" si="131"/>
        <v>3.5773315337859504E-2</v>
      </c>
      <c r="E211" s="94">
        <f t="shared" si="132"/>
        <v>3.5783000000000002E-2</v>
      </c>
      <c r="F211" s="94">
        <f t="shared" si="165"/>
        <v>0.8406030000000001</v>
      </c>
      <c r="G211" s="94" t="e">
        <f t="shared" ca="1" si="133"/>
        <v>#N/A</v>
      </c>
      <c r="H211" s="94" t="e">
        <f t="shared" ca="1" si="134"/>
        <v>#N/A</v>
      </c>
      <c r="I211" s="161" t="e">
        <f t="shared" ca="1" si="179"/>
        <v>#N/A</v>
      </c>
      <c r="J211" s="156" t="e">
        <f t="shared" ca="1" si="178"/>
        <v>#N/A</v>
      </c>
      <c r="K211" s="160" t="e">
        <f t="shared" ca="1" si="161"/>
        <v>#N/A</v>
      </c>
      <c r="L211" s="101" t="e">
        <f t="shared" ca="1" si="136"/>
        <v>#N/A</v>
      </c>
      <c r="M211" s="101" t="e">
        <f t="shared" ca="1" si="137"/>
        <v>#N/A</v>
      </c>
      <c r="N211" s="101" t="e">
        <f t="shared" ca="1" si="162"/>
        <v>#N/A</v>
      </c>
      <c r="O211" s="285">
        <f t="shared" si="138"/>
        <v>3.5773315337859504E-2</v>
      </c>
      <c r="P211" s="99">
        <f t="shared" si="139"/>
        <v>3.5783000000000002E-2</v>
      </c>
      <c r="Q211" s="99">
        <f t="shared" si="166"/>
        <v>0.8406030000000001</v>
      </c>
      <c r="R211" s="99" t="e">
        <f t="shared" ca="1" si="140"/>
        <v>#N/A</v>
      </c>
      <c r="S211" s="161" t="e">
        <f t="shared" ca="1" si="167"/>
        <v>#N/A</v>
      </c>
      <c r="T211" s="286" t="e">
        <f t="shared" ca="1" si="141"/>
        <v>#N/A</v>
      </c>
      <c r="U211" s="285">
        <f t="shared" si="142"/>
        <v>1.4340851211402663E-2</v>
      </c>
      <c r="V211" s="99">
        <f t="shared" si="143"/>
        <v>1.4344000000000001E-2</v>
      </c>
      <c r="W211" s="99">
        <f t="shared" si="168"/>
        <v>0.96730700000000003</v>
      </c>
      <c r="X211" s="99" t="e">
        <f t="shared" ca="1" si="144"/>
        <v>#N/A</v>
      </c>
      <c r="Y211" s="161" t="e">
        <f t="shared" ca="1" si="169"/>
        <v>#N/A</v>
      </c>
      <c r="Z211" s="286" t="e">
        <f t="shared" ca="1" si="163"/>
        <v>#N/A</v>
      </c>
      <c r="AA211" s="285">
        <f t="shared" si="145"/>
        <v>4.070757001213849E-2</v>
      </c>
      <c r="AB211" s="99">
        <f t="shared" si="146"/>
        <v>4.1263000000000001E-2</v>
      </c>
      <c r="AC211" s="99">
        <f t="shared" si="170"/>
        <v>0.60383400000000009</v>
      </c>
      <c r="AD211" s="99" t="e">
        <f t="shared" ca="1" si="147"/>
        <v>#N/A</v>
      </c>
      <c r="AE211" s="161" t="e">
        <f t="shared" ca="1" si="171"/>
        <v>#N/A</v>
      </c>
      <c r="AF211" s="286" t="e">
        <f t="shared" ca="1" si="148"/>
        <v>#N/A</v>
      </c>
      <c r="AG211" s="285">
        <f t="shared" si="149"/>
        <v>4.586850700135181E-2</v>
      </c>
      <c r="AH211" s="99">
        <f t="shared" si="150"/>
        <v>4.5946000000000001E-2</v>
      </c>
      <c r="AI211" s="99">
        <f t="shared" si="172"/>
        <v>0.70079800000000003</v>
      </c>
      <c r="AJ211" s="99" t="e">
        <f t="shared" ca="1" si="151"/>
        <v>#N/A</v>
      </c>
      <c r="AK211" s="161" t="e">
        <f t="shared" ca="1" si="173"/>
        <v>#N/A</v>
      </c>
      <c r="AL211" s="286" t="e">
        <f t="shared" ca="1" si="152"/>
        <v>#N/A</v>
      </c>
      <c r="AM211" s="285">
        <f t="shared" si="153"/>
        <v>5.0610825129264535E-2</v>
      </c>
      <c r="AN211" s="99">
        <f t="shared" si="154"/>
        <v>5.0687999999999997E-2</v>
      </c>
      <c r="AO211" s="99">
        <f t="shared" si="174"/>
        <v>0.66231699999999993</v>
      </c>
      <c r="AP211" s="99" t="e">
        <f t="shared" ca="1" si="155"/>
        <v>#N/A</v>
      </c>
      <c r="AQ211" s="161" t="e">
        <f t="shared" ca="1" si="175"/>
        <v>#N/A</v>
      </c>
      <c r="AR211" s="286" t="e">
        <f t="shared" ca="1" si="156"/>
        <v>#N/A</v>
      </c>
      <c r="AS211" s="285">
        <f t="shared" si="157"/>
        <v>3.8190782877931866E-2</v>
      </c>
      <c r="AT211" s="99">
        <f t="shared" si="158"/>
        <v>3.8210000000000001E-2</v>
      </c>
      <c r="AU211" s="99">
        <f t="shared" si="176"/>
        <v>0.80473400000000006</v>
      </c>
      <c r="AV211" s="99" t="e">
        <f t="shared" ca="1" si="159"/>
        <v>#N/A</v>
      </c>
      <c r="AW211" s="161" t="e">
        <f t="shared" ca="1" si="177"/>
        <v>#N/A</v>
      </c>
      <c r="AX211" s="286" t="e">
        <f t="shared" ca="1" si="160"/>
        <v>#N/A</v>
      </c>
      <c r="BG211" s="345"/>
      <c r="BH211" s="345"/>
      <c r="BI211" s="345"/>
      <c r="BJ211" s="345"/>
      <c r="BK211" s="345"/>
      <c r="BL211" s="345"/>
    </row>
    <row r="212" spans="2:64" x14ac:dyDescent="0.25">
      <c r="B212" s="104">
        <f t="shared" si="164"/>
        <v>12</v>
      </c>
      <c r="C212" s="94">
        <v>13</v>
      </c>
      <c r="D212" s="94">
        <f t="shared" si="131"/>
        <v>2.8948107648074713E-2</v>
      </c>
      <c r="E212" s="94">
        <f t="shared" si="132"/>
        <v>2.8955999999999999E-2</v>
      </c>
      <c r="F212" s="94">
        <f t="shared" si="165"/>
        <v>0.86955900000000008</v>
      </c>
      <c r="G212" s="94" t="e">
        <f t="shared" ca="1" si="133"/>
        <v>#N/A</v>
      </c>
      <c r="H212" s="94" t="e">
        <f t="shared" ca="1" si="134"/>
        <v>#N/A</v>
      </c>
      <c r="I212" s="161" t="e">
        <f t="shared" ca="1" si="179"/>
        <v>#N/A</v>
      </c>
      <c r="J212" s="156" t="e">
        <f t="shared" ca="1" si="178"/>
        <v>#N/A</v>
      </c>
      <c r="K212" s="160" t="e">
        <f t="shared" ca="1" si="161"/>
        <v>#N/A</v>
      </c>
      <c r="L212" s="101" t="e">
        <f t="shared" ca="1" si="136"/>
        <v>#N/A</v>
      </c>
      <c r="M212" s="101" t="e">
        <f t="shared" ca="1" si="137"/>
        <v>#N/A</v>
      </c>
      <c r="N212" s="101" t="e">
        <f t="shared" ca="1" si="162"/>
        <v>#N/A</v>
      </c>
      <c r="O212" s="285">
        <f t="shared" si="138"/>
        <v>2.8948107648074713E-2</v>
      </c>
      <c r="P212" s="99">
        <f t="shared" si="139"/>
        <v>2.8955999999999999E-2</v>
      </c>
      <c r="Q212" s="99">
        <f t="shared" si="166"/>
        <v>0.86955900000000008</v>
      </c>
      <c r="R212" s="99" t="e">
        <f t="shared" ca="1" si="140"/>
        <v>#N/A</v>
      </c>
      <c r="S212" s="161" t="e">
        <f t="shared" ca="1" si="167"/>
        <v>#N/A</v>
      </c>
      <c r="T212" s="286" t="e">
        <f t="shared" ca="1" si="141"/>
        <v>#N/A</v>
      </c>
      <c r="U212" s="285">
        <f t="shared" si="142"/>
        <v>9.8315250830436716E-3</v>
      </c>
      <c r="V212" s="99">
        <f t="shared" si="143"/>
        <v>9.8329999999999997E-3</v>
      </c>
      <c r="W212" s="99">
        <f t="shared" si="168"/>
        <v>0.97714000000000001</v>
      </c>
      <c r="X212" s="99" t="e">
        <f t="shared" ca="1" si="144"/>
        <v>#N/A</v>
      </c>
      <c r="Y212" s="161" t="e">
        <f t="shared" ca="1" si="169"/>
        <v>#N/A</v>
      </c>
      <c r="Z212" s="286" t="e">
        <f t="shared" ca="1" si="163"/>
        <v>#N/A</v>
      </c>
      <c r="AA212" s="285">
        <f t="shared" si="145"/>
        <v>3.6685467046749132E-2</v>
      </c>
      <c r="AB212" s="99">
        <f t="shared" si="146"/>
        <v>3.7185999999999997E-2</v>
      </c>
      <c r="AC212" s="99">
        <f t="shared" si="170"/>
        <v>0.64102000000000015</v>
      </c>
      <c r="AD212" s="99" t="e">
        <f t="shared" ca="1" si="147"/>
        <v>#N/A</v>
      </c>
      <c r="AE212" s="161" t="e">
        <f t="shared" ca="1" si="171"/>
        <v>#N/A</v>
      </c>
      <c r="AF212" s="286" t="e">
        <f t="shared" ca="1" si="148"/>
        <v>#N/A</v>
      </c>
      <c r="AG212" s="285">
        <f t="shared" si="149"/>
        <v>3.9714540172914051E-2</v>
      </c>
      <c r="AH212" s="99">
        <f t="shared" si="150"/>
        <v>3.9780999999999997E-2</v>
      </c>
      <c r="AI212" s="99">
        <f t="shared" si="172"/>
        <v>0.74057899999999999</v>
      </c>
      <c r="AJ212" s="99" t="e">
        <f t="shared" ca="1" si="151"/>
        <v>#N/A</v>
      </c>
      <c r="AK212" s="161" t="e">
        <f t="shared" ca="1" si="173"/>
        <v>#N/A</v>
      </c>
      <c r="AL212" s="286" t="e">
        <f t="shared" ca="1" si="152"/>
        <v>#N/A</v>
      </c>
      <c r="AM212" s="285">
        <f t="shared" si="153"/>
        <v>4.4278177234861243E-2</v>
      </c>
      <c r="AN212" s="99">
        <f t="shared" si="154"/>
        <v>4.4345999999999997E-2</v>
      </c>
      <c r="AO212" s="99">
        <f t="shared" si="174"/>
        <v>0.70666299999999993</v>
      </c>
      <c r="AP212" s="99" t="e">
        <f t="shared" ca="1" si="155"/>
        <v>#N/A</v>
      </c>
      <c r="AQ212" s="161" t="e">
        <f t="shared" ca="1" si="175"/>
        <v>#N/A</v>
      </c>
      <c r="AR212" s="286" t="e">
        <f t="shared" ca="1" si="156"/>
        <v>#N/A</v>
      </c>
      <c r="AS212" s="285">
        <f t="shared" si="157"/>
        <v>3.1655690048766165E-2</v>
      </c>
      <c r="AT212" s="99">
        <f t="shared" si="158"/>
        <v>3.1671999999999999E-2</v>
      </c>
      <c r="AU212" s="99">
        <f t="shared" si="176"/>
        <v>0.83640600000000009</v>
      </c>
      <c r="AV212" s="99" t="e">
        <f t="shared" ca="1" si="159"/>
        <v>#N/A</v>
      </c>
      <c r="AW212" s="161" t="e">
        <f t="shared" ca="1" si="177"/>
        <v>#N/A</v>
      </c>
      <c r="AX212" s="286" t="e">
        <f t="shared" ca="1" si="160"/>
        <v>#N/A</v>
      </c>
    </row>
    <row r="213" spans="2:64" x14ac:dyDescent="0.25">
      <c r="B213" s="104">
        <f t="shared" si="164"/>
        <v>13</v>
      </c>
      <c r="C213" s="94">
        <v>14</v>
      </c>
      <c r="D213" s="94">
        <f t="shared" si="131"/>
        <v>2.3426388510166384E-2</v>
      </c>
      <c r="E213" s="94">
        <f t="shared" si="132"/>
        <v>2.3432999999999999E-2</v>
      </c>
      <c r="F213" s="94">
        <f t="shared" si="165"/>
        <v>0.89299200000000012</v>
      </c>
      <c r="G213" s="94" t="e">
        <f t="shared" ca="1" si="133"/>
        <v>#N/A</v>
      </c>
      <c r="H213" s="94" t="e">
        <f t="shared" ca="1" si="134"/>
        <v>#N/A</v>
      </c>
      <c r="I213" s="161" t="e">
        <f t="shared" ca="1" si="179"/>
        <v>#N/A</v>
      </c>
      <c r="J213" s="156" t="e">
        <f t="shared" ca="1" si="178"/>
        <v>#N/A</v>
      </c>
      <c r="K213" s="160" t="e">
        <f t="shared" ca="1" si="161"/>
        <v>#N/A</v>
      </c>
      <c r="L213" s="101" t="e">
        <f t="shared" ca="1" si="136"/>
        <v>#N/A</v>
      </c>
      <c r="M213" s="101" t="e">
        <f t="shared" ca="1" si="137"/>
        <v>#N/A</v>
      </c>
      <c r="N213" s="101" t="e">
        <f t="shared" ca="1" si="162"/>
        <v>#N/A</v>
      </c>
      <c r="O213" s="285">
        <f t="shared" si="138"/>
        <v>2.3426388510166384E-2</v>
      </c>
      <c r="P213" s="99">
        <f t="shared" si="139"/>
        <v>2.3432999999999999E-2</v>
      </c>
      <c r="Q213" s="99">
        <f t="shared" si="166"/>
        <v>0.89299200000000012</v>
      </c>
      <c r="R213" s="99" t="e">
        <f t="shared" ca="1" si="140"/>
        <v>#N/A</v>
      </c>
      <c r="S213" s="161" t="e">
        <f t="shared" ca="1" si="167"/>
        <v>#N/A</v>
      </c>
      <c r="T213" s="286" t="e">
        <f t="shared" ca="1" si="141"/>
        <v>#N/A</v>
      </c>
      <c r="U213" s="285">
        <f t="shared" si="142"/>
        <v>6.7715279403981416E-3</v>
      </c>
      <c r="V213" s="99">
        <f t="shared" si="143"/>
        <v>6.7730000000000004E-3</v>
      </c>
      <c r="W213" s="99">
        <f t="shared" si="168"/>
        <v>0.98391300000000004</v>
      </c>
      <c r="X213" s="99" t="e">
        <f t="shared" ca="1" si="144"/>
        <v>#N/A</v>
      </c>
      <c r="Y213" s="161" t="e">
        <f t="shared" ca="1" si="169"/>
        <v>#N/A</v>
      </c>
      <c r="Z213" s="286" t="e">
        <f t="shared" ca="1" si="163"/>
        <v>#N/A</v>
      </c>
      <c r="AA213" s="285">
        <f t="shared" si="145"/>
        <v>3.3022213274987701E-2</v>
      </c>
      <c r="AB213" s="99">
        <f t="shared" si="146"/>
        <v>3.3473000000000003E-2</v>
      </c>
      <c r="AC213" s="99">
        <f t="shared" si="170"/>
        <v>0.67449300000000012</v>
      </c>
      <c r="AD213" s="99" t="e">
        <f t="shared" ca="1" si="147"/>
        <v>#N/A</v>
      </c>
      <c r="AE213" s="161" t="e">
        <f t="shared" ca="1" si="171"/>
        <v>#N/A</v>
      </c>
      <c r="AF213" s="286" t="e">
        <f t="shared" ca="1" si="148"/>
        <v>#N/A</v>
      </c>
      <c r="AG213" s="285">
        <f t="shared" si="149"/>
        <v>3.4291615897439523E-2</v>
      </c>
      <c r="AH213" s="99">
        <f t="shared" si="150"/>
        <v>3.4348999999999998E-2</v>
      </c>
      <c r="AI213" s="99">
        <f t="shared" si="172"/>
        <v>0.77492799999999995</v>
      </c>
      <c r="AJ213" s="99" t="e">
        <f t="shared" ca="1" si="151"/>
        <v>#N/A</v>
      </c>
      <c r="AK213" s="161" t="e">
        <f t="shared" ca="1" si="173"/>
        <v>#N/A</v>
      </c>
      <c r="AL213" s="286" t="e">
        <f t="shared" ca="1" si="152"/>
        <v>#N/A</v>
      </c>
      <c r="AM213" s="285">
        <f t="shared" si="153"/>
        <v>3.8542980052993947E-2</v>
      </c>
      <c r="AN213" s="99">
        <f t="shared" si="154"/>
        <v>3.8601999999999997E-2</v>
      </c>
      <c r="AO213" s="99">
        <f t="shared" si="174"/>
        <v>0.74526499999999996</v>
      </c>
      <c r="AP213" s="99" t="e">
        <f t="shared" ca="1" si="155"/>
        <v>#N/A</v>
      </c>
      <c r="AQ213" s="161" t="e">
        <f t="shared" ca="1" si="175"/>
        <v>#N/A</v>
      </c>
      <c r="AR213" s="286" t="e">
        <f t="shared" ca="1" si="156"/>
        <v>#N/A</v>
      </c>
      <c r="AS213" s="285">
        <f t="shared" si="157"/>
        <v>2.6233462435251379E-2</v>
      </c>
      <c r="AT213" s="99">
        <f t="shared" si="158"/>
        <v>2.6246999999999999E-2</v>
      </c>
      <c r="AU213" s="99">
        <f t="shared" si="176"/>
        <v>0.86265300000000011</v>
      </c>
      <c r="AV213" s="99" t="e">
        <f t="shared" ca="1" si="159"/>
        <v>#N/A</v>
      </c>
      <c r="AW213" s="161" t="e">
        <f t="shared" ca="1" si="177"/>
        <v>#N/A</v>
      </c>
      <c r="AX213" s="286" t="e">
        <f t="shared" ca="1" si="160"/>
        <v>#N/A</v>
      </c>
    </row>
    <row r="214" spans="2:64" x14ac:dyDescent="0.25">
      <c r="B214" s="104">
        <f t="shared" si="164"/>
        <v>14</v>
      </c>
      <c r="C214" s="94">
        <v>15</v>
      </c>
      <c r="D214" s="94">
        <f t="shared" si="131"/>
        <v>1.8978601583634968E-2</v>
      </c>
      <c r="E214" s="94">
        <f t="shared" si="132"/>
        <v>1.8984000000000001E-2</v>
      </c>
      <c r="F214" s="94">
        <f t="shared" si="165"/>
        <v>0.91197600000000012</v>
      </c>
      <c r="G214" s="94" t="e">
        <f t="shared" ca="1" si="133"/>
        <v>#N/A</v>
      </c>
      <c r="H214" s="94" t="e">
        <f t="shared" ca="1" si="134"/>
        <v>#N/A</v>
      </c>
      <c r="I214" s="161" t="e">
        <f t="shared" ca="1" si="179"/>
        <v>#N/A</v>
      </c>
      <c r="J214" s="156" t="e">
        <f t="shared" ca="1" si="178"/>
        <v>#N/A</v>
      </c>
      <c r="K214" s="160" t="e">
        <f t="shared" ca="1" si="161"/>
        <v>#N/A</v>
      </c>
      <c r="L214" s="101" t="e">
        <f t="shared" ca="1" si="136"/>
        <v>#N/A</v>
      </c>
      <c r="M214" s="101" t="e">
        <f t="shared" ca="1" si="137"/>
        <v>#N/A</v>
      </c>
      <c r="N214" s="101" t="e">
        <f t="shared" ca="1" si="162"/>
        <v>#N/A</v>
      </c>
      <c r="O214" s="285">
        <f t="shared" si="138"/>
        <v>1.8978601583634968E-2</v>
      </c>
      <c r="P214" s="99">
        <f t="shared" si="139"/>
        <v>1.8984000000000001E-2</v>
      </c>
      <c r="Q214" s="99">
        <f t="shared" si="166"/>
        <v>0.91197600000000012</v>
      </c>
      <c r="R214" s="99" t="e">
        <f t="shared" ca="1" si="140"/>
        <v>#N/A</v>
      </c>
      <c r="S214" s="161" t="e">
        <f t="shared" ca="1" si="167"/>
        <v>#N/A</v>
      </c>
      <c r="T214" s="286" t="e">
        <f t="shared" ca="1" si="141"/>
        <v>#N/A</v>
      </c>
      <c r="U214" s="285">
        <f t="shared" si="142"/>
        <v>4.6899599525238476E-3</v>
      </c>
      <c r="V214" s="99">
        <f t="shared" si="143"/>
        <v>4.6909999999999999E-3</v>
      </c>
      <c r="W214" s="99">
        <f t="shared" si="168"/>
        <v>0.98860400000000004</v>
      </c>
      <c r="X214" s="99" t="e">
        <f t="shared" ca="1" si="144"/>
        <v>#N/A</v>
      </c>
      <c r="Y214" s="161" t="e">
        <f t="shared" ca="1" si="169"/>
        <v>#N/A</v>
      </c>
      <c r="Z214" s="286" t="e">
        <f t="shared" ca="1" si="163"/>
        <v>#N/A</v>
      </c>
      <c r="AA214" s="285">
        <f t="shared" si="145"/>
        <v>2.9712464069819585E-2</v>
      </c>
      <c r="AB214" s="99">
        <f t="shared" si="146"/>
        <v>3.0117999999999999E-2</v>
      </c>
      <c r="AC214" s="99">
        <f t="shared" si="170"/>
        <v>0.7046110000000001</v>
      </c>
      <c r="AD214" s="99" t="e">
        <f t="shared" ca="1" si="147"/>
        <v>#N/A</v>
      </c>
      <c r="AE214" s="161" t="e">
        <f t="shared" ca="1" si="171"/>
        <v>#N/A</v>
      </c>
      <c r="AF214" s="286" t="e">
        <f t="shared" ca="1" si="148"/>
        <v>#N/A</v>
      </c>
      <c r="AG214" s="285">
        <f t="shared" si="149"/>
        <v>2.9565425918973265E-2</v>
      </c>
      <c r="AH214" s="99">
        <f t="shared" si="150"/>
        <v>2.9614999999999999E-2</v>
      </c>
      <c r="AI214" s="99">
        <f t="shared" si="172"/>
        <v>0.8045429999999999</v>
      </c>
      <c r="AJ214" s="99" t="e">
        <f t="shared" ca="1" si="151"/>
        <v>#N/A</v>
      </c>
      <c r="AK214" s="161" t="e">
        <f t="shared" ca="1" si="173"/>
        <v>#N/A</v>
      </c>
      <c r="AL214" s="286" t="e">
        <f t="shared" ca="1" si="152"/>
        <v>#N/A</v>
      </c>
      <c r="AM214" s="285">
        <f t="shared" si="153"/>
        <v>3.3438414981126388E-2</v>
      </c>
      <c r="AN214" s="99">
        <f t="shared" si="154"/>
        <v>3.3489999999999999E-2</v>
      </c>
      <c r="AO214" s="99">
        <f t="shared" si="174"/>
        <v>0.77875499999999998</v>
      </c>
      <c r="AP214" s="99" t="e">
        <f t="shared" ca="1" si="155"/>
        <v>#N/A</v>
      </c>
      <c r="AQ214" s="161" t="e">
        <f t="shared" ca="1" si="175"/>
        <v>#N/A</v>
      </c>
      <c r="AR214" s="286" t="e">
        <f t="shared" ca="1" si="156"/>
        <v>#N/A</v>
      </c>
      <c r="AS214" s="285">
        <f t="shared" si="157"/>
        <v>2.1756612076269315E-2</v>
      </c>
      <c r="AT214" s="99">
        <f t="shared" si="158"/>
        <v>2.1767999999999999E-2</v>
      </c>
      <c r="AU214" s="99">
        <f t="shared" si="176"/>
        <v>0.88442100000000012</v>
      </c>
      <c r="AV214" s="99" t="e">
        <f t="shared" ca="1" si="159"/>
        <v>#N/A</v>
      </c>
      <c r="AW214" s="161" t="e">
        <f t="shared" ca="1" si="177"/>
        <v>#N/A</v>
      </c>
      <c r="AX214" s="286" t="e">
        <f t="shared" ca="1" si="160"/>
        <v>#N/A</v>
      </c>
    </row>
    <row r="215" spans="2:64" x14ac:dyDescent="0.25">
      <c r="B215" s="104">
        <f t="shared" si="164"/>
        <v>15</v>
      </c>
      <c r="C215" s="94">
        <v>16</v>
      </c>
      <c r="D215" s="94">
        <f t="shared" si="131"/>
        <v>1.5402900581428947E-2</v>
      </c>
      <c r="E215" s="94">
        <f t="shared" si="132"/>
        <v>1.5407000000000001E-2</v>
      </c>
      <c r="F215" s="94">
        <f t="shared" si="165"/>
        <v>0.92738300000000007</v>
      </c>
      <c r="G215" s="94" t="e">
        <f t="shared" ca="1" si="133"/>
        <v>#N/A</v>
      </c>
      <c r="H215" s="94" t="e">
        <f t="shared" ca="1" si="134"/>
        <v>#N/A</v>
      </c>
      <c r="I215" s="161" t="e">
        <f t="shared" ca="1" si="179"/>
        <v>#N/A</v>
      </c>
      <c r="J215" s="156" t="e">
        <f t="shared" ca="1" si="178"/>
        <v>#N/A</v>
      </c>
      <c r="K215" s="160" t="e">
        <f t="shared" ca="1" si="161"/>
        <v>#N/A</v>
      </c>
      <c r="L215" s="101" t="e">
        <f t="shared" ca="1" si="136"/>
        <v>#N/A</v>
      </c>
      <c r="M215" s="101" t="e">
        <f t="shared" ca="1" si="137"/>
        <v>#N/A</v>
      </c>
      <c r="N215" s="101" t="e">
        <f t="shared" ca="1" si="162"/>
        <v>#N/A</v>
      </c>
      <c r="O215" s="285">
        <f t="shared" si="138"/>
        <v>1.5402900581428947E-2</v>
      </c>
      <c r="P215" s="99">
        <f t="shared" si="139"/>
        <v>1.5407000000000001E-2</v>
      </c>
      <c r="Q215" s="99">
        <f t="shared" si="166"/>
        <v>0.92738300000000007</v>
      </c>
      <c r="R215" s="99" t="e">
        <f t="shared" ca="1" si="140"/>
        <v>#N/A</v>
      </c>
      <c r="S215" s="161" t="e">
        <f t="shared" ca="1" si="167"/>
        <v>#N/A</v>
      </c>
      <c r="T215" s="286" t="e">
        <f t="shared" ca="1" si="141"/>
        <v>#N/A</v>
      </c>
      <c r="U215" s="285">
        <f t="shared" si="142"/>
        <v>3.2681625192718124E-3</v>
      </c>
      <c r="V215" s="99">
        <f t="shared" si="143"/>
        <v>3.2690000000000002E-3</v>
      </c>
      <c r="W215" s="99">
        <f t="shared" si="168"/>
        <v>0.991873</v>
      </c>
      <c r="X215" s="99" t="e">
        <f t="shared" ca="1" si="144"/>
        <v>#N/A</v>
      </c>
      <c r="Y215" s="161" t="e">
        <f t="shared" ca="1" si="169"/>
        <v>#N/A</v>
      </c>
      <c r="Z215" s="286" t="e">
        <f t="shared" ca="1" si="163"/>
        <v>#N/A</v>
      </c>
      <c r="AA215" s="285">
        <f t="shared" si="145"/>
        <v>2.6737639411438589E-2</v>
      </c>
      <c r="AB215" s="99">
        <f t="shared" si="146"/>
        <v>2.7102999999999999E-2</v>
      </c>
      <c r="AC215" s="99">
        <f t="shared" si="170"/>
        <v>0.73171400000000009</v>
      </c>
      <c r="AD215" s="99" t="e">
        <f t="shared" ca="1" si="147"/>
        <v>#N/A</v>
      </c>
      <c r="AE215" s="161" t="e">
        <f t="shared" ca="1" si="171"/>
        <v>#N/A</v>
      </c>
      <c r="AF215" s="286" t="e">
        <f t="shared" ca="1" si="148"/>
        <v>#N/A</v>
      </c>
      <c r="AG215" s="285">
        <f t="shared" si="149"/>
        <v>2.5476295759392843E-2</v>
      </c>
      <c r="AH215" s="99">
        <f t="shared" si="150"/>
        <v>2.5519E-2</v>
      </c>
      <c r="AI215" s="99">
        <f t="shared" si="172"/>
        <v>0.83006199999999986</v>
      </c>
      <c r="AJ215" s="99" t="e">
        <f t="shared" ca="1" si="151"/>
        <v>#N/A</v>
      </c>
      <c r="AK215" s="161" t="e">
        <f t="shared" ca="1" si="173"/>
        <v>#N/A</v>
      </c>
      <c r="AL215" s="286" t="e">
        <f t="shared" ca="1" si="152"/>
        <v>#N/A</v>
      </c>
      <c r="AM215" s="285">
        <f t="shared" si="153"/>
        <v>2.8948744919962199E-2</v>
      </c>
      <c r="AN215" s="99">
        <f t="shared" si="154"/>
        <v>2.8993000000000001E-2</v>
      </c>
      <c r="AO215" s="99">
        <f t="shared" si="174"/>
        <v>0.80774800000000002</v>
      </c>
      <c r="AP215" s="99" t="e">
        <f t="shared" ca="1" si="155"/>
        <v>#N/A</v>
      </c>
      <c r="AQ215" s="161" t="e">
        <f t="shared" ca="1" si="175"/>
        <v>#N/A</v>
      </c>
      <c r="AR215" s="286" t="e">
        <f t="shared" ca="1" si="156"/>
        <v>#N/A</v>
      </c>
      <c r="AS215" s="285">
        <f t="shared" si="157"/>
        <v>1.8069542475471094E-2</v>
      </c>
      <c r="AT215" s="99">
        <f t="shared" si="158"/>
        <v>1.8079000000000001E-2</v>
      </c>
      <c r="AU215" s="99">
        <f t="shared" si="176"/>
        <v>0.90250000000000008</v>
      </c>
      <c r="AV215" s="99" t="e">
        <f t="shared" ca="1" si="159"/>
        <v>#N/A</v>
      </c>
      <c r="AW215" s="161" t="e">
        <f t="shared" ca="1" si="177"/>
        <v>#N/A</v>
      </c>
      <c r="AX215" s="286" t="e">
        <f t="shared" ca="1" si="160"/>
        <v>#N/A</v>
      </c>
    </row>
    <row r="216" spans="2:64" x14ac:dyDescent="0.25">
      <c r="B216" s="104">
        <f t="shared" si="164"/>
        <v>16</v>
      </c>
      <c r="C216" s="94">
        <v>17</v>
      </c>
      <c r="D216" s="94">
        <f t="shared" si="131"/>
        <v>1.2529308999672398E-2</v>
      </c>
      <c r="E216" s="94">
        <f t="shared" si="132"/>
        <v>1.2533000000000001E-2</v>
      </c>
      <c r="F216" s="94">
        <f t="shared" si="165"/>
        <v>0.93991600000000008</v>
      </c>
      <c r="G216" s="94" t="e">
        <f t="shared" ca="1" si="133"/>
        <v>#N/A</v>
      </c>
      <c r="H216" s="94" t="e">
        <f t="shared" ca="1" si="134"/>
        <v>#N/A</v>
      </c>
      <c r="I216" s="161" t="e">
        <f t="shared" ca="1" si="179"/>
        <v>#N/A</v>
      </c>
      <c r="J216" s="156" t="e">
        <f t="shared" ca="1" si="178"/>
        <v>#N/A</v>
      </c>
      <c r="K216" s="160" t="e">
        <f t="shared" ca="1" si="161"/>
        <v>#N/A</v>
      </c>
      <c r="L216" s="101" t="e">
        <f t="shared" ca="1" si="136"/>
        <v>#N/A</v>
      </c>
      <c r="M216" s="101" t="e">
        <f t="shared" ca="1" si="137"/>
        <v>#N/A</v>
      </c>
      <c r="N216" s="101" t="e">
        <f t="shared" ca="1" si="162"/>
        <v>#N/A</v>
      </c>
      <c r="O216" s="285">
        <f t="shared" si="138"/>
        <v>1.2529308999672398E-2</v>
      </c>
      <c r="P216" s="99">
        <f t="shared" si="139"/>
        <v>1.2533000000000001E-2</v>
      </c>
      <c r="Q216" s="99">
        <f t="shared" si="166"/>
        <v>0.93991600000000008</v>
      </c>
      <c r="R216" s="99" t="e">
        <f t="shared" ca="1" si="140"/>
        <v>#N/A</v>
      </c>
      <c r="S216" s="161" t="e">
        <f t="shared" ca="1" si="167"/>
        <v>#N/A</v>
      </c>
      <c r="T216" s="286" t="e">
        <f t="shared" ca="1" si="141"/>
        <v>#N/A</v>
      </c>
      <c r="U216" s="285">
        <f t="shared" si="142"/>
        <v>2.2920192515082662E-3</v>
      </c>
      <c r="V216" s="99">
        <f t="shared" si="143"/>
        <v>2.2920000000000002E-3</v>
      </c>
      <c r="W216" s="99">
        <f t="shared" si="168"/>
        <v>0.99416499999999997</v>
      </c>
      <c r="X216" s="99" t="e">
        <f t="shared" ca="1" si="144"/>
        <v>#N/A</v>
      </c>
      <c r="Y216" s="161" t="e">
        <f t="shared" ca="1" si="169"/>
        <v>#N/A</v>
      </c>
      <c r="Z216" s="286" t="e">
        <f t="shared" ca="1" si="163"/>
        <v>#N/A</v>
      </c>
      <c r="AA216" s="285">
        <f t="shared" si="145"/>
        <v>2.4072666967061073E-2</v>
      </c>
      <c r="AB216" s="99">
        <f t="shared" si="146"/>
        <v>2.4400999999999999E-2</v>
      </c>
      <c r="AC216" s="99">
        <f t="shared" si="170"/>
        <v>0.75611500000000009</v>
      </c>
      <c r="AD216" s="99" t="e">
        <f t="shared" ca="1" si="147"/>
        <v>#N/A</v>
      </c>
      <c r="AE216" s="161" t="e">
        <f t="shared" ca="1" si="171"/>
        <v>#N/A</v>
      </c>
      <c r="AF216" s="286" t="e">
        <f t="shared" ca="1" si="148"/>
        <v>#N/A</v>
      </c>
      <c r="AG216" s="285">
        <f t="shared" si="149"/>
        <v>2.1954974984391699E-2</v>
      </c>
      <c r="AH216" s="99">
        <f t="shared" si="150"/>
        <v>2.1992000000000001E-2</v>
      </c>
      <c r="AI216" s="99">
        <f t="shared" si="172"/>
        <v>0.85205399999999987</v>
      </c>
      <c r="AJ216" s="99" t="e">
        <f t="shared" ca="1" si="151"/>
        <v>#N/A</v>
      </c>
      <c r="AK216" s="161" t="e">
        <f t="shared" ca="1" si="173"/>
        <v>#N/A</v>
      </c>
      <c r="AL216" s="286" t="e">
        <f t="shared" ca="1" si="152"/>
        <v>#N/A</v>
      </c>
      <c r="AM216" s="285">
        <f t="shared" si="153"/>
        <v>2.5032076412924664E-2</v>
      </c>
      <c r="AN216" s="99">
        <f t="shared" si="154"/>
        <v>2.5069999999999999E-2</v>
      </c>
      <c r="AO216" s="99">
        <f t="shared" si="174"/>
        <v>0.83281800000000006</v>
      </c>
      <c r="AP216" s="99" t="e">
        <f t="shared" ca="1" si="155"/>
        <v>#N/A</v>
      </c>
      <c r="AQ216" s="161" t="e">
        <f t="shared" ca="1" si="175"/>
        <v>#N/A</v>
      </c>
      <c r="AR216" s="286" t="e">
        <f t="shared" ca="1" si="156"/>
        <v>#N/A</v>
      </c>
      <c r="AS216" s="285">
        <f t="shared" si="157"/>
        <v>1.5035579709971506E-2</v>
      </c>
      <c r="AT216" s="99">
        <f t="shared" si="158"/>
        <v>1.5043000000000001E-2</v>
      </c>
      <c r="AU216" s="99">
        <f t="shared" si="176"/>
        <v>0.91754300000000011</v>
      </c>
      <c r="AV216" s="99" t="e">
        <f t="shared" ca="1" si="159"/>
        <v>#N/A</v>
      </c>
      <c r="AW216" s="161" t="e">
        <f t="shared" ca="1" si="177"/>
        <v>#N/A</v>
      </c>
      <c r="AX216" s="286" t="e">
        <f t="shared" ca="1" si="160"/>
        <v>#N/A</v>
      </c>
      <c r="BG216" s="102"/>
      <c r="BH216" s="102"/>
      <c r="BI216" s="102"/>
      <c r="BJ216" s="102"/>
      <c r="BK216" s="102"/>
      <c r="BL216" s="102"/>
    </row>
    <row r="217" spans="2:64" x14ac:dyDescent="0.25">
      <c r="B217" s="104">
        <f t="shared" si="164"/>
        <v>17</v>
      </c>
      <c r="C217" s="94">
        <v>18</v>
      </c>
      <c r="D217" s="94">
        <f t="shared" si="131"/>
        <v>1.0218234825301323E-2</v>
      </c>
      <c r="E217" s="94">
        <f t="shared" si="132"/>
        <v>1.0220999999999999E-2</v>
      </c>
      <c r="F217" s="94">
        <f t="shared" si="165"/>
        <v>0.95013700000000012</v>
      </c>
      <c r="G217" s="94" t="e">
        <f t="shared" ca="1" si="133"/>
        <v>#N/A</v>
      </c>
      <c r="H217" s="94" t="e">
        <f t="shared" ca="1" si="134"/>
        <v>#N/A</v>
      </c>
      <c r="I217" s="161" t="e">
        <f t="shared" ca="1" si="179"/>
        <v>#N/A</v>
      </c>
      <c r="J217" s="156" t="e">
        <f t="shared" ca="1" si="178"/>
        <v>#N/A</v>
      </c>
      <c r="K217" s="160" t="e">
        <f t="shared" ca="1" si="161"/>
        <v>#N/A</v>
      </c>
      <c r="L217" s="101" t="e">
        <f t="shared" ca="1" si="136"/>
        <v>#N/A</v>
      </c>
      <c r="M217" s="101" t="e">
        <f t="shared" ca="1" si="137"/>
        <v>#N/A</v>
      </c>
      <c r="N217" s="101" t="e">
        <f t="shared" ca="1" si="162"/>
        <v>#N/A</v>
      </c>
      <c r="O217" s="285">
        <f t="shared" si="138"/>
        <v>1.0218234825301323E-2</v>
      </c>
      <c r="P217" s="99">
        <f t="shared" si="139"/>
        <v>1.0220999999999999E-2</v>
      </c>
      <c r="Q217" s="99">
        <f t="shared" si="166"/>
        <v>0.95013700000000012</v>
      </c>
      <c r="R217" s="99" t="e">
        <f t="shared" ca="1" si="140"/>
        <v>#N/A</v>
      </c>
      <c r="S217" s="161" t="e">
        <f t="shared" ca="1" si="167"/>
        <v>#N/A</v>
      </c>
      <c r="T217" s="286" t="e">
        <f t="shared" ca="1" si="141"/>
        <v>#N/A</v>
      </c>
      <c r="U217" s="285">
        <f t="shared" si="142"/>
        <v>1.6179647058275235E-3</v>
      </c>
      <c r="V217" s="99">
        <f t="shared" si="143"/>
        <v>1.6180000000000001E-3</v>
      </c>
      <c r="W217" s="99">
        <f t="shared" si="168"/>
        <v>0.99578299999999997</v>
      </c>
      <c r="X217" s="99" t="e">
        <f t="shared" ca="1" si="144"/>
        <v>#N/A</v>
      </c>
      <c r="Y217" s="161" t="e">
        <f t="shared" ca="1" si="169"/>
        <v>#N/A</v>
      </c>
      <c r="Z217" s="286" t="e">
        <f t="shared" ca="1" si="163"/>
        <v>#N/A</v>
      </c>
      <c r="AA217" s="285">
        <f t="shared" si="145"/>
        <v>2.1690004149638488E-2</v>
      </c>
      <c r="AB217" s="99">
        <f t="shared" si="146"/>
        <v>2.1985999999999999E-2</v>
      </c>
      <c r="AC217" s="99">
        <f t="shared" si="170"/>
        <v>0.77810100000000004</v>
      </c>
      <c r="AD217" s="99" t="e">
        <f t="shared" ca="1" si="147"/>
        <v>#N/A</v>
      </c>
      <c r="AE217" s="161" t="e">
        <f t="shared" ca="1" si="171"/>
        <v>#N/A</v>
      </c>
      <c r="AF217" s="286" t="e">
        <f t="shared" ca="1" si="148"/>
        <v>#N/A</v>
      </c>
      <c r="AG217" s="285">
        <f t="shared" si="149"/>
        <v>1.8931471938829943E-2</v>
      </c>
      <c r="AH217" s="99">
        <f t="shared" si="150"/>
        <v>1.8963000000000001E-2</v>
      </c>
      <c r="AI217" s="99">
        <f t="shared" si="172"/>
        <v>0.87101699999999982</v>
      </c>
      <c r="AJ217" s="99" t="e">
        <f t="shared" ca="1" si="151"/>
        <v>#N/A</v>
      </c>
      <c r="AK217" s="161" t="e">
        <f t="shared" ca="1" si="173"/>
        <v>#N/A</v>
      </c>
      <c r="AL217" s="286" t="e">
        <f t="shared" ca="1" si="152"/>
        <v>#N/A</v>
      </c>
      <c r="AM217" s="285">
        <f t="shared" si="153"/>
        <v>2.1634452432654508E-2</v>
      </c>
      <c r="AN217" s="99">
        <f t="shared" si="154"/>
        <v>2.1668E-2</v>
      </c>
      <c r="AO217" s="99">
        <f t="shared" si="174"/>
        <v>0.85448600000000008</v>
      </c>
      <c r="AP217" s="99" t="e">
        <f t="shared" ca="1" si="155"/>
        <v>#N/A</v>
      </c>
      <c r="AQ217" s="161" t="e">
        <f t="shared" ca="1" si="175"/>
        <v>#N/A</v>
      </c>
      <c r="AR217" s="286" t="e">
        <f t="shared" ca="1" si="156"/>
        <v>#N/A</v>
      </c>
      <c r="AS217" s="285">
        <f t="shared" si="157"/>
        <v>1.2538430474231067E-2</v>
      </c>
      <c r="AT217" s="99">
        <f t="shared" si="158"/>
        <v>1.2545000000000001E-2</v>
      </c>
      <c r="AU217" s="99">
        <f t="shared" si="176"/>
        <v>0.93008800000000014</v>
      </c>
      <c r="AV217" s="99" t="e">
        <f t="shared" ca="1" si="159"/>
        <v>#N/A</v>
      </c>
      <c r="AW217" s="161" t="e">
        <f t="shared" ca="1" si="177"/>
        <v>#N/A</v>
      </c>
      <c r="AX217" s="286" t="e">
        <f t="shared" ca="1" si="160"/>
        <v>#N/A</v>
      </c>
    </row>
    <row r="218" spans="2:64" x14ac:dyDescent="0.25">
      <c r="B218" s="104">
        <f t="shared" si="164"/>
        <v>18</v>
      </c>
      <c r="C218" s="94">
        <v>19</v>
      </c>
      <c r="D218" s="94">
        <f t="shared" si="131"/>
        <v>8.356758606440513E-3</v>
      </c>
      <c r="E218" s="94">
        <f t="shared" si="132"/>
        <v>8.3590000000000001E-3</v>
      </c>
      <c r="F218" s="94">
        <f t="shared" si="165"/>
        <v>0.95849600000000013</v>
      </c>
      <c r="G218" s="94" t="e">
        <f t="shared" ca="1" si="133"/>
        <v>#N/A</v>
      </c>
      <c r="H218" s="94" t="e">
        <f t="shared" ca="1" si="134"/>
        <v>#N/A</v>
      </c>
      <c r="I218" s="161" t="e">
        <f t="shared" ca="1" si="179"/>
        <v>#N/A</v>
      </c>
      <c r="J218" s="156" t="e">
        <f t="shared" ca="1" si="178"/>
        <v>#N/A</v>
      </c>
      <c r="K218" s="160" t="e">
        <f t="shared" ca="1" si="161"/>
        <v>#N/A</v>
      </c>
      <c r="L218" s="101" t="e">
        <f t="shared" ca="1" si="136"/>
        <v>#N/A</v>
      </c>
      <c r="M218" s="101" t="e">
        <f t="shared" ca="1" si="137"/>
        <v>#N/A</v>
      </c>
      <c r="N218" s="101" t="e">
        <f t="shared" ca="1" si="162"/>
        <v>#N/A</v>
      </c>
      <c r="O218" s="285">
        <f t="shared" si="138"/>
        <v>8.356758606440513E-3</v>
      </c>
      <c r="P218" s="99">
        <f t="shared" si="139"/>
        <v>8.3590000000000001E-3</v>
      </c>
      <c r="Q218" s="99">
        <f t="shared" si="166"/>
        <v>0.95849600000000013</v>
      </c>
      <c r="R218" s="99" t="e">
        <f t="shared" ca="1" si="140"/>
        <v>#N/A</v>
      </c>
      <c r="S218" s="161" t="e">
        <f t="shared" ca="1" si="167"/>
        <v>#N/A</v>
      </c>
      <c r="T218" s="286" t="e">
        <f t="shared" ca="1" si="141"/>
        <v>#N/A</v>
      </c>
      <c r="U218" s="285">
        <f t="shared" si="142"/>
        <v>1.1496444703985404E-3</v>
      </c>
      <c r="V218" s="99">
        <f t="shared" si="143"/>
        <v>1.15E-3</v>
      </c>
      <c r="W218" s="99">
        <f t="shared" si="168"/>
        <v>0.99693299999999996</v>
      </c>
      <c r="X218" s="99" t="e">
        <f t="shared" ca="1" si="144"/>
        <v>#N/A</v>
      </c>
      <c r="Y218" s="161" t="e">
        <f t="shared" ca="1" si="169"/>
        <v>#N/A</v>
      </c>
      <c r="Z218" s="286" t="e">
        <f t="shared" ca="1" si="163"/>
        <v>#N/A</v>
      </c>
      <c r="AA218" s="285">
        <f t="shared" si="145"/>
        <v>1.9561979702151549E-2</v>
      </c>
      <c r="AB218" s="99">
        <f t="shared" si="146"/>
        <v>1.9828999999999999E-2</v>
      </c>
      <c r="AC218" s="99">
        <f t="shared" si="170"/>
        <v>0.79793000000000003</v>
      </c>
      <c r="AD218" s="99" t="e">
        <f t="shared" ca="1" si="147"/>
        <v>#N/A</v>
      </c>
      <c r="AE218" s="161" t="e">
        <f t="shared" ca="1" si="171"/>
        <v>#N/A</v>
      </c>
      <c r="AF218" s="286" t="e">
        <f t="shared" ca="1" si="148"/>
        <v>#N/A</v>
      </c>
      <c r="AG218" s="285">
        <f t="shared" si="149"/>
        <v>1.6339697999901391E-2</v>
      </c>
      <c r="AH218" s="99">
        <f t="shared" si="150"/>
        <v>1.6367E-2</v>
      </c>
      <c r="AI218" s="99">
        <f t="shared" si="172"/>
        <v>0.88738399999999984</v>
      </c>
      <c r="AJ218" s="99" t="e">
        <f t="shared" ca="1" si="151"/>
        <v>#N/A</v>
      </c>
      <c r="AK218" s="161" t="e">
        <f t="shared" ca="1" si="173"/>
        <v>#N/A</v>
      </c>
      <c r="AL218" s="286" t="e">
        <f t="shared" ca="1" si="152"/>
        <v>#N/A</v>
      </c>
      <c r="AM218" s="285">
        <f t="shared" si="153"/>
        <v>1.8698290253455731E-2</v>
      </c>
      <c r="AN218" s="99">
        <f t="shared" si="154"/>
        <v>1.8727000000000001E-2</v>
      </c>
      <c r="AO218" s="99">
        <f t="shared" si="174"/>
        <v>0.87321300000000013</v>
      </c>
      <c r="AP218" s="99" t="e">
        <f t="shared" ca="1" si="155"/>
        <v>#N/A</v>
      </c>
      <c r="AQ218" s="161" t="e">
        <f t="shared" ca="1" si="175"/>
        <v>#N/A</v>
      </c>
      <c r="AR218" s="286" t="e">
        <f t="shared" ca="1" si="156"/>
        <v>#N/A</v>
      </c>
      <c r="AS218" s="285">
        <f t="shared" si="157"/>
        <v>1.0481021101225478E-2</v>
      </c>
      <c r="AT218" s="99">
        <f t="shared" si="158"/>
        <v>1.0486000000000001E-2</v>
      </c>
      <c r="AU218" s="99">
        <f t="shared" si="176"/>
        <v>0.94057400000000013</v>
      </c>
      <c r="AV218" s="99" t="e">
        <f t="shared" ca="1" si="159"/>
        <v>#N/A</v>
      </c>
      <c r="AW218" s="161" t="e">
        <f t="shared" ca="1" si="177"/>
        <v>#N/A</v>
      </c>
      <c r="AX218" s="286" t="e">
        <f t="shared" ca="1" si="160"/>
        <v>#N/A</v>
      </c>
    </row>
    <row r="219" spans="2:64" x14ac:dyDescent="0.25">
      <c r="B219" s="104">
        <f t="shared" si="164"/>
        <v>19</v>
      </c>
      <c r="C219" s="94">
        <v>20</v>
      </c>
      <c r="D219" s="94">
        <f t="shared" si="131"/>
        <v>6.8543665729997308E-3</v>
      </c>
      <c r="E219" s="94">
        <f t="shared" si="132"/>
        <v>6.8560000000000001E-3</v>
      </c>
      <c r="F219" s="94">
        <f t="shared" si="165"/>
        <v>0.9653520000000001</v>
      </c>
      <c r="G219" s="94" t="e">
        <f t="shared" ca="1" si="133"/>
        <v>#N/A</v>
      </c>
      <c r="H219" s="94" t="e">
        <f t="shared" ca="1" si="134"/>
        <v>#N/A</v>
      </c>
      <c r="I219" s="161" t="e">
        <f t="shared" ca="1" si="179"/>
        <v>#N/A</v>
      </c>
      <c r="J219" s="156" t="e">
        <f t="shared" ca="1" si="178"/>
        <v>#N/A</v>
      </c>
      <c r="K219" s="160" t="e">
        <f t="shared" ca="1" si="161"/>
        <v>#N/A</v>
      </c>
      <c r="L219" s="101" t="e">
        <f t="shared" ca="1" si="136"/>
        <v>#N/A</v>
      </c>
      <c r="M219" s="101" t="e">
        <f t="shared" ca="1" si="137"/>
        <v>#N/A</v>
      </c>
      <c r="N219" s="101" t="e">
        <f t="shared" ca="1" si="162"/>
        <v>#N/A</v>
      </c>
      <c r="O219" s="285">
        <f t="shared" si="138"/>
        <v>6.8543665729997308E-3</v>
      </c>
      <c r="P219" s="99">
        <f t="shared" si="139"/>
        <v>6.8560000000000001E-3</v>
      </c>
      <c r="Q219" s="99">
        <f t="shared" si="166"/>
        <v>0.9653520000000001</v>
      </c>
      <c r="R219" s="99" t="e">
        <f t="shared" ca="1" si="140"/>
        <v>#N/A</v>
      </c>
      <c r="S219" s="161" t="e">
        <f t="shared" ca="1" si="167"/>
        <v>#N/A</v>
      </c>
      <c r="T219" s="286" t="e">
        <f t="shared" ca="1" si="141"/>
        <v>#N/A</v>
      </c>
      <c r="U219" s="285">
        <f t="shared" si="142"/>
        <v>8.2219860192950039E-4</v>
      </c>
      <c r="V219" s="99">
        <f t="shared" si="143"/>
        <v>8.2200000000000003E-4</v>
      </c>
      <c r="W219" s="99">
        <f t="shared" si="168"/>
        <v>0.99775499999999995</v>
      </c>
      <c r="X219" s="99" t="e">
        <f t="shared" ca="1" si="144"/>
        <v>#N/A</v>
      </c>
      <c r="Y219" s="161" t="e">
        <f t="shared" ca="1" si="169"/>
        <v>#N/A</v>
      </c>
      <c r="Z219" s="286" t="e">
        <f t="shared" ca="1" si="163"/>
        <v>#N/A</v>
      </c>
      <c r="AA219" s="285">
        <f t="shared" si="145"/>
        <v>1.7662100537966793E-2</v>
      </c>
      <c r="AB219" s="99">
        <f t="shared" si="146"/>
        <v>1.7902999999999999E-2</v>
      </c>
      <c r="AC219" s="99">
        <f t="shared" si="170"/>
        <v>0.81583300000000003</v>
      </c>
      <c r="AD219" s="99" t="e">
        <f t="shared" ca="1" si="147"/>
        <v>#N/A</v>
      </c>
      <c r="AE219" s="161" t="e">
        <f t="shared" ca="1" si="171"/>
        <v>#N/A</v>
      </c>
      <c r="AF219" s="286" t="e">
        <f t="shared" ca="1" si="148"/>
        <v>#N/A</v>
      </c>
      <c r="AG219" s="285">
        <f t="shared" si="149"/>
        <v>1.4119638430663094E-2</v>
      </c>
      <c r="AH219" s="99">
        <f t="shared" si="150"/>
        <v>1.4142999999999999E-2</v>
      </c>
      <c r="AI219" s="99">
        <f t="shared" si="172"/>
        <v>0.90152699999999986</v>
      </c>
      <c r="AJ219" s="99" t="e">
        <f t="shared" ca="1" si="151"/>
        <v>#N/A</v>
      </c>
      <c r="AK219" s="161" t="e">
        <f t="shared" ca="1" si="173"/>
        <v>#N/A</v>
      </c>
      <c r="AL219" s="286" t="e">
        <f t="shared" ca="1" si="152"/>
        <v>#N/A</v>
      </c>
      <c r="AM219" s="285">
        <f t="shared" si="153"/>
        <v>1.6167210423018878E-2</v>
      </c>
      <c r="AN219" s="99">
        <f t="shared" si="154"/>
        <v>1.6192000000000002E-2</v>
      </c>
      <c r="AO219" s="99">
        <f t="shared" si="174"/>
        <v>0.88940500000000011</v>
      </c>
      <c r="AP219" s="99" t="e">
        <f t="shared" ca="1" si="155"/>
        <v>#N/A</v>
      </c>
      <c r="AQ219" s="161" t="e">
        <f t="shared" ca="1" si="175"/>
        <v>#N/A</v>
      </c>
      <c r="AR219" s="286" t="e">
        <f t="shared" ca="1" si="156"/>
        <v>#N/A</v>
      </c>
      <c r="AS219" s="285">
        <f t="shared" si="157"/>
        <v>8.7832729655794757E-3</v>
      </c>
      <c r="AT219" s="99">
        <f t="shared" si="158"/>
        <v>8.7880000000000007E-3</v>
      </c>
      <c r="AU219" s="99">
        <f t="shared" si="176"/>
        <v>0.94936200000000015</v>
      </c>
      <c r="AV219" s="99" t="e">
        <f t="shared" ca="1" si="159"/>
        <v>#N/A</v>
      </c>
      <c r="AW219" s="161" t="e">
        <f t="shared" ca="1" si="177"/>
        <v>#N/A</v>
      </c>
      <c r="AX219" s="286" t="e">
        <f t="shared" ca="1" si="160"/>
        <v>#N/A</v>
      </c>
    </row>
    <row r="220" spans="2:64" x14ac:dyDescent="0.25">
      <c r="B220" s="104">
        <f t="shared" si="164"/>
        <v>20</v>
      </c>
      <c r="C220" s="94">
        <v>21</v>
      </c>
      <c r="D220" s="94">
        <f t="shared" si="131"/>
        <v>5.6388893773070287E-3</v>
      </c>
      <c r="E220" s="94">
        <f t="shared" si="132"/>
        <v>5.64E-3</v>
      </c>
      <c r="F220" s="94">
        <f t="shared" si="165"/>
        <v>0.97099200000000008</v>
      </c>
      <c r="G220" s="94" t="e">
        <f t="shared" ca="1" si="133"/>
        <v>#N/A</v>
      </c>
      <c r="H220" s="94" t="e">
        <f t="shared" ca="1" si="134"/>
        <v>#N/A</v>
      </c>
      <c r="I220" s="161" t="e">
        <f t="shared" ca="1" si="179"/>
        <v>#N/A</v>
      </c>
      <c r="J220" s="156" t="e">
        <f t="shared" ca="1" si="178"/>
        <v>#N/A</v>
      </c>
      <c r="K220" s="160" t="e">
        <f t="shared" ca="1" si="161"/>
        <v>#N/A</v>
      </c>
      <c r="L220" s="101" t="e">
        <f t="shared" ca="1" si="136"/>
        <v>#N/A</v>
      </c>
      <c r="M220" s="101" t="e">
        <f t="shared" ca="1" si="137"/>
        <v>#N/A</v>
      </c>
      <c r="N220" s="101" t="e">
        <f t="shared" ca="1" si="162"/>
        <v>#N/A</v>
      </c>
      <c r="O220" s="285">
        <f t="shared" si="138"/>
        <v>5.6388893773070287E-3</v>
      </c>
      <c r="P220" s="99">
        <f t="shared" si="139"/>
        <v>5.64E-3</v>
      </c>
      <c r="Q220" s="99">
        <f t="shared" si="166"/>
        <v>0.97099200000000008</v>
      </c>
      <c r="R220" s="99" t="e">
        <f t="shared" ca="1" si="140"/>
        <v>#N/A</v>
      </c>
      <c r="S220" s="161" t="e">
        <f t="shared" ca="1" si="167"/>
        <v>#N/A</v>
      </c>
      <c r="T220" s="286" t="e">
        <f t="shared" ca="1" si="141"/>
        <v>#N/A</v>
      </c>
      <c r="U220" s="285">
        <f t="shared" si="142"/>
        <v>5.9178202454418093E-4</v>
      </c>
      <c r="V220" s="99">
        <f t="shared" si="143"/>
        <v>5.9199999999999997E-4</v>
      </c>
      <c r="W220" s="99">
        <f t="shared" si="168"/>
        <v>0.99834699999999998</v>
      </c>
      <c r="X220" s="99" t="e">
        <f t="shared" ca="1" si="144"/>
        <v>#N/A</v>
      </c>
      <c r="Y220" s="161" t="e">
        <f t="shared" ca="1" si="169"/>
        <v>#N/A</v>
      </c>
      <c r="Z220" s="286" t="e">
        <f t="shared" ca="1" si="163"/>
        <v>#N/A</v>
      </c>
      <c r="AA220" s="285">
        <f t="shared" si="145"/>
        <v>1.5965725505398144E-2</v>
      </c>
      <c r="AB220" s="99">
        <f t="shared" si="146"/>
        <v>1.6184E-2</v>
      </c>
      <c r="AC220" s="99">
        <f t="shared" si="170"/>
        <v>0.83201700000000001</v>
      </c>
      <c r="AD220" s="99" t="e">
        <f t="shared" ca="1" si="147"/>
        <v>#N/A</v>
      </c>
      <c r="AE220" s="161" t="e">
        <f t="shared" ca="1" si="171"/>
        <v>#N/A</v>
      </c>
      <c r="AF220" s="286" t="e">
        <f t="shared" ca="1" si="148"/>
        <v>#N/A</v>
      </c>
      <c r="AG220" s="285">
        <f t="shared" si="149"/>
        <v>1.2218101723402076E-2</v>
      </c>
      <c r="AH220" s="99">
        <f t="shared" si="150"/>
        <v>1.2239E-2</v>
      </c>
      <c r="AI220" s="99">
        <f t="shared" si="172"/>
        <v>0.91376599999999986</v>
      </c>
      <c r="AJ220" s="99" t="e">
        <f t="shared" ca="1" si="151"/>
        <v>#N/A</v>
      </c>
      <c r="AK220" s="161" t="e">
        <f t="shared" ca="1" si="173"/>
        <v>#N/A</v>
      </c>
      <c r="AL220" s="286" t="e">
        <f t="shared" ca="1" si="152"/>
        <v>#N/A</v>
      </c>
      <c r="AM220" s="285">
        <f t="shared" si="153"/>
        <v>1.3988608342130065E-2</v>
      </c>
      <c r="AN220" s="99">
        <f t="shared" si="154"/>
        <v>1.401E-2</v>
      </c>
      <c r="AO220" s="99">
        <f t="shared" si="174"/>
        <v>0.90341500000000008</v>
      </c>
      <c r="AP220" s="99" t="e">
        <f t="shared" ca="1" si="155"/>
        <v>#N/A</v>
      </c>
      <c r="AQ220" s="161" t="e">
        <f t="shared" ca="1" si="175"/>
        <v>#N/A</v>
      </c>
      <c r="AR220" s="286" t="e">
        <f t="shared" ca="1" si="156"/>
        <v>#N/A</v>
      </c>
      <c r="AS220" s="285">
        <f t="shared" si="157"/>
        <v>7.3796038103261831E-3</v>
      </c>
      <c r="AT220" s="99">
        <f t="shared" si="158"/>
        <v>7.3829999999999998E-3</v>
      </c>
      <c r="AU220" s="99">
        <f t="shared" si="176"/>
        <v>0.95674500000000018</v>
      </c>
      <c r="AV220" s="99" t="e">
        <f t="shared" ca="1" si="159"/>
        <v>#N/A</v>
      </c>
      <c r="AW220" s="161" t="e">
        <f t="shared" ca="1" si="177"/>
        <v>#N/A</v>
      </c>
      <c r="AX220" s="286" t="e">
        <f t="shared" ca="1" si="160"/>
        <v>#N/A</v>
      </c>
    </row>
    <row r="221" spans="2:64" x14ac:dyDescent="0.25">
      <c r="B221" s="104">
        <f t="shared" si="164"/>
        <v>21</v>
      </c>
      <c r="C221" s="94">
        <v>22</v>
      </c>
      <c r="D221" s="94">
        <f t="shared" si="131"/>
        <v>4.652944595330194E-3</v>
      </c>
      <c r="E221" s="94">
        <f t="shared" si="132"/>
        <v>4.6540000000000002E-3</v>
      </c>
      <c r="F221" s="94">
        <f t="shared" si="165"/>
        <v>0.97564600000000012</v>
      </c>
      <c r="G221" s="94" t="e">
        <f t="shared" ca="1" si="133"/>
        <v>#N/A</v>
      </c>
      <c r="H221" s="94" t="e">
        <f t="shared" ca="1" si="134"/>
        <v>#N/A</v>
      </c>
      <c r="I221" s="161" t="e">
        <f t="shared" ca="1" si="179"/>
        <v>#N/A</v>
      </c>
      <c r="J221" s="156" t="e">
        <f t="shared" ca="1" si="178"/>
        <v>#N/A</v>
      </c>
      <c r="K221" s="160" t="e">
        <f t="shared" ca="1" si="161"/>
        <v>#N/A</v>
      </c>
      <c r="L221" s="101" t="e">
        <f t="shared" ca="1" si="136"/>
        <v>#N/A</v>
      </c>
      <c r="M221" s="101" t="e">
        <f t="shared" ca="1" si="137"/>
        <v>#N/A</v>
      </c>
      <c r="N221" s="101" t="e">
        <f t="shared" ca="1" si="162"/>
        <v>#N/A</v>
      </c>
      <c r="O221" s="285">
        <f t="shared" si="138"/>
        <v>4.652944595330194E-3</v>
      </c>
      <c r="P221" s="99">
        <f t="shared" si="139"/>
        <v>4.6540000000000002E-3</v>
      </c>
      <c r="Q221" s="99">
        <f t="shared" si="166"/>
        <v>0.97564600000000012</v>
      </c>
      <c r="R221" s="99" t="e">
        <f t="shared" ca="1" si="140"/>
        <v>#N/A</v>
      </c>
      <c r="S221" s="161" t="e">
        <f t="shared" ca="1" si="167"/>
        <v>#N/A</v>
      </c>
      <c r="T221" s="286" t="e">
        <f t="shared" ca="1" si="141"/>
        <v>#N/A</v>
      </c>
      <c r="U221" s="285">
        <f t="shared" si="142"/>
        <v>4.2860537935187043E-4</v>
      </c>
      <c r="V221" s="99">
        <f t="shared" si="143"/>
        <v>4.2900000000000002E-4</v>
      </c>
      <c r="W221" s="99">
        <f t="shared" si="168"/>
        <v>0.998776</v>
      </c>
      <c r="X221" s="99" t="e">
        <f t="shared" ca="1" si="144"/>
        <v>#N/A</v>
      </c>
      <c r="Y221" s="161" t="e">
        <f t="shared" ca="1" si="169"/>
        <v>#N/A</v>
      </c>
      <c r="Z221" s="286" t="e">
        <f t="shared" ca="1" si="163"/>
        <v>#N/A</v>
      </c>
      <c r="AA221" s="285">
        <f t="shared" si="145"/>
        <v>1.445035638711074E-2</v>
      </c>
      <c r="AB221" s="99">
        <f t="shared" si="146"/>
        <v>1.4648E-2</v>
      </c>
      <c r="AC221" s="99">
        <f t="shared" si="170"/>
        <v>0.846665</v>
      </c>
      <c r="AD221" s="99" t="e">
        <f t="shared" ca="1" si="147"/>
        <v>#N/A</v>
      </c>
      <c r="AE221" s="161" t="e">
        <f t="shared" ca="1" si="171"/>
        <v>#N/A</v>
      </c>
      <c r="AF221" s="286" t="e">
        <f t="shared" ca="1" si="148"/>
        <v>#N/A</v>
      </c>
      <c r="AG221" s="285">
        <f t="shared" si="149"/>
        <v>1.0588683965779205E-2</v>
      </c>
      <c r="AH221" s="99">
        <f t="shared" si="150"/>
        <v>1.0606000000000001E-2</v>
      </c>
      <c r="AI221" s="99">
        <f t="shared" si="172"/>
        <v>0.92437199999999986</v>
      </c>
      <c r="AJ221" s="99" t="e">
        <f t="shared" ca="1" si="151"/>
        <v>#N/A</v>
      </c>
      <c r="AK221" s="161" t="e">
        <f t="shared" ca="1" si="173"/>
        <v>#N/A</v>
      </c>
      <c r="AL221" s="286" t="e">
        <f t="shared" ca="1" si="152"/>
        <v>#N/A</v>
      </c>
      <c r="AM221" s="285">
        <f t="shared" si="153"/>
        <v>1.2114844773218836E-2</v>
      </c>
      <c r="AN221" s="99">
        <f t="shared" si="154"/>
        <v>1.2133E-2</v>
      </c>
      <c r="AO221" s="99">
        <f t="shared" si="174"/>
        <v>0.91554800000000003</v>
      </c>
      <c r="AP221" s="99" t="e">
        <f t="shared" ca="1" si="155"/>
        <v>#N/A</v>
      </c>
      <c r="AQ221" s="161" t="e">
        <f t="shared" ca="1" si="175"/>
        <v>#N/A</v>
      </c>
      <c r="AR221" s="286" t="e">
        <f t="shared" ca="1" si="156"/>
        <v>#N/A</v>
      </c>
      <c r="AS221" s="285">
        <f t="shared" si="157"/>
        <v>6.2165315971413034E-3</v>
      </c>
      <c r="AT221" s="99">
        <f t="shared" si="158"/>
        <v>6.2199999999999998E-3</v>
      </c>
      <c r="AU221" s="99">
        <f t="shared" si="176"/>
        <v>0.96296500000000018</v>
      </c>
      <c r="AV221" s="99" t="e">
        <f t="shared" ca="1" si="159"/>
        <v>#N/A</v>
      </c>
      <c r="AW221" s="161" t="e">
        <f t="shared" ca="1" si="177"/>
        <v>#N/A</v>
      </c>
      <c r="AX221" s="286" t="e">
        <f t="shared" ca="1" si="160"/>
        <v>#N/A</v>
      </c>
    </row>
    <row r="222" spans="2:64" x14ac:dyDescent="0.25">
      <c r="B222" s="104">
        <f t="shared" si="164"/>
        <v>22</v>
      </c>
      <c r="C222" s="94">
        <v>23</v>
      </c>
      <c r="D222" s="94">
        <f t="shared" si="131"/>
        <v>3.8509558582453364E-3</v>
      </c>
      <c r="E222" s="94">
        <f t="shared" si="132"/>
        <v>3.852E-3</v>
      </c>
      <c r="F222" s="94">
        <f t="shared" si="165"/>
        <v>0.97949800000000009</v>
      </c>
      <c r="G222" s="94" t="e">
        <f t="shared" ca="1" si="133"/>
        <v>#N/A</v>
      </c>
      <c r="H222" s="94" t="e">
        <f t="shared" ca="1" si="134"/>
        <v>#N/A</v>
      </c>
      <c r="I222" s="161" t="e">
        <f t="shared" ca="1" si="179"/>
        <v>#N/A</v>
      </c>
      <c r="J222" s="156" t="e">
        <f t="shared" ca="1" si="178"/>
        <v>#N/A</v>
      </c>
      <c r="K222" s="160" t="e">
        <f t="shared" ca="1" si="161"/>
        <v>#N/A</v>
      </c>
      <c r="L222" s="101" t="e">
        <f t="shared" ca="1" si="136"/>
        <v>#N/A</v>
      </c>
      <c r="M222" s="101" t="e">
        <f t="shared" ca="1" si="137"/>
        <v>#N/A</v>
      </c>
      <c r="N222" s="101" t="e">
        <f t="shared" ca="1" si="162"/>
        <v>#N/A</v>
      </c>
      <c r="O222" s="285">
        <f t="shared" si="138"/>
        <v>3.8509558582453364E-3</v>
      </c>
      <c r="P222" s="99">
        <f t="shared" si="139"/>
        <v>3.852E-3</v>
      </c>
      <c r="Q222" s="99">
        <f t="shared" si="166"/>
        <v>0.97949800000000009</v>
      </c>
      <c r="R222" s="99" t="e">
        <f t="shared" ca="1" si="140"/>
        <v>#N/A</v>
      </c>
      <c r="S222" s="161" t="e">
        <f t="shared" ca="1" si="167"/>
        <v>#N/A</v>
      </c>
      <c r="T222" s="286" t="e">
        <f t="shared" ca="1" si="141"/>
        <v>#N/A</v>
      </c>
      <c r="U222" s="285">
        <f t="shared" si="142"/>
        <v>3.1231600989821748E-4</v>
      </c>
      <c r="V222" s="99">
        <f t="shared" si="143"/>
        <v>3.1199999999999999E-4</v>
      </c>
      <c r="W222" s="99">
        <f t="shared" si="168"/>
        <v>0.99908799999999998</v>
      </c>
      <c r="X222" s="99" t="e">
        <f t="shared" ca="1" si="144"/>
        <v>#N/A</v>
      </c>
      <c r="Y222" s="161" t="e">
        <f t="shared" ca="1" si="169"/>
        <v>#N/A</v>
      </c>
      <c r="Z222" s="286" t="e">
        <f t="shared" ca="1" si="163"/>
        <v>#N/A</v>
      </c>
      <c r="AA222" s="285">
        <f t="shared" si="145"/>
        <v>1.3095702180795832E-2</v>
      </c>
      <c r="AB222" s="99">
        <f t="shared" si="146"/>
        <v>1.3275E-2</v>
      </c>
      <c r="AC222" s="99">
        <f t="shared" si="170"/>
        <v>0.85994000000000004</v>
      </c>
      <c r="AD222" s="99" t="e">
        <f t="shared" ca="1" si="147"/>
        <v>#N/A</v>
      </c>
      <c r="AE222" s="161" t="e">
        <f t="shared" ca="1" si="171"/>
        <v>#N/A</v>
      </c>
      <c r="AF222" s="286" t="e">
        <f t="shared" ca="1" si="148"/>
        <v>#N/A</v>
      </c>
      <c r="AG222" s="285">
        <f t="shared" si="149"/>
        <v>9.1913281358812909E-3</v>
      </c>
      <c r="AH222" s="99">
        <f t="shared" si="150"/>
        <v>9.2069999999999999E-3</v>
      </c>
      <c r="AI222" s="99">
        <f t="shared" si="172"/>
        <v>0.93357899999999983</v>
      </c>
      <c r="AJ222" s="99" t="e">
        <f t="shared" ca="1" si="151"/>
        <v>#N/A</v>
      </c>
      <c r="AK222" s="161" t="e">
        <f t="shared" ca="1" si="173"/>
        <v>#N/A</v>
      </c>
      <c r="AL222" s="286" t="e">
        <f t="shared" ca="1" si="152"/>
        <v>#N/A</v>
      </c>
      <c r="AM222" s="285">
        <f t="shared" si="153"/>
        <v>1.0503615215545378E-2</v>
      </c>
      <c r="AN222" s="99">
        <f t="shared" si="154"/>
        <v>1.052E-2</v>
      </c>
      <c r="AO222" s="99">
        <f t="shared" si="174"/>
        <v>0.926068</v>
      </c>
      <c r="AP222" s="99" t="e">
        <f t="shared" ca="1" si="155"/>
        <v>#N/A</v>
      </c>
      <c r="AQ222" s="161" t="e">
        <f t="shared" ca="1" si="175"/>
        <v>#N/A</v>
      </c>
      <c r="AR222" s="286" t="e">
        <f t="shared" ca="1" si="156"/>
        <v>#N/A</v>
      </c>
      <c r="AS222" s="285">
        <f t="shared" si="157"/>
        <v>5.2505393839050027E-3</v>
      </c>
      <c r="AT222" s="99">
        <f t="shared" si="158"/>
        <v>5.2529999999999999E-3</v>
      </c>
      <c r="AU222" s="99">
        <f t="shared" si="176"/>
        <v>0.96821800000000013</v>
      </c>
      <c r="AV222" s="99" t="e">
        <f t="shared" ca="1" si="159"/>
        <v>#N/A</v>
      </c>
      <c r="AW222" s="161" t="e">
        <f t="shared" ca="1" si="177"/>
        <v>#N/A</v>
      </c>
      <c r="AX222" s="286" t="e">
        <f t="shared" ca="1" si="160"/>
        <v>#N/A</v>
      </c>
    </row>
    <row r="223" spans="2:64" x14ac:dyDescent="0.25">
      <c r="B223" s="104">
        <f t="shared" si="164"/>
        <v>23</v>
      </c>
      <c r="C223" s="94">
        <v>24</v>
      </c>
      <c r="D223" s="94">
        <f t="shared" si="131"/>
        <v>3.196719345571294E-3</v>
      </c>
      <c r="E223" s="94">
        <f t="shared" si="132"/>
        <v>3.1979999999999999E-3</v>
      </c>
      <c r="F223" s="94">
        <f t="shared" si="165"/>
        <v>0.98269600000000012</v>
      </c>
      <c r="G223" s="94" t="e">
        <f t="shared" ca="1" si="133"/>
        <v>#N/A</v>
      </c>
      <c r="H223" s="94" t="e">
        <f t="shared" ca="1" si="134"/>
        <v>#N/A</v>
      </c>
      <c r="I223" s="161" t="e">
        <f t="shared" ca="1" si="179"/>
        <v>#N/A</v>
      </c>
      <c r="J223" s="156" t="e">
        <f t="shared" ca="1" si="178"/>
        <v>#N/A</v>
      </c>
      <c r="K223" s="160" t="e">
        <f t="shared" ca="1" si="161"/>
        <v>#N/A</v>
      </c>
      <c r="L223" s="101" t="e">
        <f t="shared" ca="1" si="136"/>
        <v>#N/A</v>
      </c>
      <c r="M223" s="101" t="e">
        <f t="shared" ca="1" si="137"/>
        <v>#N/A</v>
      </c>
      <c r="N223" s="101" t="e">
        <f t="shared" ca="1" si="162"/>
        <v>#N/A</v>
      </c>
      <c r="O223" s="285">
        <f t="shared" si="138"/>
        <v>3.196719345571294E-3</v>
      </c>
      <c r="P223" s="99">
        <f t="shared" si="139"/>
        <v>3.1979999999999999E-3</v>
      </c>
      <c r="Q223" s="99">
        <f t="shared" si="166"/>
        <v>0.98269600000000012</v>
      </c>
      <c r="R223" s="99" t="e">
        <f t="shared" ca="1" si="140"/>
        <v>#N/A</v>
      </c>
      <c r="S223" s="161" t="e">
        <f t="shared" ca="1" si="167"/>
        <v>#N/A</v>
      </c>
      <c r="T223" s="286" t="e">
        <f t="shared" ca="1" si="141"/>
        <v>#N/A</v>
      </c>
      <c r="U223" s="285">
        <f t="shared" si="142"/>
        <v>2.2892662975346651E-4</v>
      </c>
      <c r="V223" s="99">
        <f t="shared" si="143"/>
        <v>2.2900000000000001E-4</v>
      </c>
      <c r="W223" s="99">
        <f t="shared" si="168"/>
        <v>0.99931700000000001</v>
      </c>
      <c r="X223" s="99" t="e">
        <f t="shared" ca="1" si="144"/>
        <v>#N/A</v>
      </c>
      <c r="Y223" s="161" t="e">
        <f t="shared" ca="1" si="169"/>
        <v>#N/A</v>
      </c>
      <c r="Z223" s="286" t="e">
        <f t="shared" ca="1" si="163"/>
        <v>#N/A</v>
      </c>
      <c r="AA223" s="285">
        <f t="shared" si="145"/>
        <v>1.1883613750734235E-2</v>
      </c>
      <c r="AB223" s="99">
        <f t="shared" si="146"/>
        <v>1.2045999999999999E-2</v>
      </c>
      <c r="AC223" s="99">
        <f t="shared" si="170"/>
        <v>0.87198600000000004</v>
      </c>
      <c r="AD223" s="99" t="e">
        <f t="shared" ca="1" si="147"/>
        <v>#N/A</v>
      </c>
      <c r="AE223" s="161" t="e">
        <f t="shared" ca="1" si="171"/>
        <v>#N/A</v>
      </c>
      <c r="AF223" s="286" t="e">
        <f t="shared" ca="1" si="148"/>
        <v>#N/A</v>
      </c>
      <c r="AG223" s="285">
        <f t="shared" si="149"/>
        <v>7.9917009566497273E-3</v>
      </c>
      <c r="AH223" s="99">
        <f t="shared" si="150"/>
        <v>8.005E-3</v>
      </c>
      <c r="AI223" s="99">
        <f t="shared" si="172"/>
        <v>0.94158399999999987</v>
      </c>
      <c r="AJ223" s="99" t="e">
        <f t="shared" ca="1" si="151"/>
        <v>#N/A</v>
      </c>
      <c r="AK223" s="161" t="e">
        <f t="shared" ca="1" si="173"/>
        <v>#N/A</v>
      </c>
      <c r="AL223" s="286" t="e">
        <f t="shared" ca="1" si="152"/>
        <v>#N/A</v>
      </c>
      <c r="AM223" s="285">
        <f t="shared" si="153"/>
        <v>9.117851062726676E-3</v>
      </c>
      <c r="AN223" s="99">
        <f t="shared" si="154"/>
        <v>9.1319999999999995E-3</v>
      </c>
      <c r="AO223" s="99">
        <f t="shared" si="174"/>
        <v>0.93520000000000003</v>
      </c>
      <c r="AP223" s="99" t="e">
        <f t="shared" ca="1" si="155"/>
        <v>#N/A</v>
      </c>
      <c r="AQ223" s="161" t="e">
        <f t="shared" ca="1" si="175"/>
        <v>#N/A</v>
      </c>
      <c r="AR223" s="286" t="e">
        <f t="shared" ca="1" si="156"/>
        <v>#N/A</v>
      </c>
      <c r="AS223" s="285">
        <f t="shared" si="157"/>
        <v>4.4462481891502726E-3</v>
      </c>
      <c r="AT223" s="99">
        <f t="shared" si="158"/>
        <v>4.4479999999999997E-3</v>
      </c>
      <c r="AU223" s="99">
        <f t="shared" si="176"/>
        <v>0.97266600000000014</v>
      </c>
      <c r="AV223" s="99" t="e">
        <f t="shared" ca="1" si="159"/>
        <v>#N/A</v>
      </c>
      <c r="AW223" s="161" t="e">
        <f t="shared" ca="1" si="177"/>
        <v>#N/A</v>
      </c>
      <c r="AX223" s="286" t="e">
        <f t="shared" ca="1" si="160"/>
        <v>#N/A</v>
      </c>
    </row>
    <row r="224" spans="2:64" x14ac:dyDescent="0.25">
      <c r="B224" s="104">
        <f t="shared" si="164"/>
        <v>24</v>
      </c>
      <c r="C224" s="94">
        <v>25</v>
      </c>
      <c r="D224" s="94">
        <f t="shared" si="131"/>
        <v>2.6614485774049874E-3</v>
      </c>
      <c r="E224" s="94">
        <f t="shared" si="132"/>
        <v>2.6619999999999999E-3</v>
      </c>
      <c r="F224" s="94">
        <f t="shared" si="165"/>
        <v>0.98535800000000018</v>
      </c>
      <c r="G224" s="94" t="e">
        <f t="shared" ca="1" si="133"/>
        <v>#N/A</v>
      </c>
      <c r="H224" s="94" t="e">
        <f t="shared" ca="1" si="134"/>
        <v>#N/A</v>
      </c>
      <c r="I224" s="161" t="e">
        <f t="shared" ca="1" si="179"/>
        <v>#N/A</v>
      </c>
      <c r="J224" s="156" t="e">
        <f t="shared" ca="1" si="178"/>
        <v>#N/A</v>
      </c>
      <c r="K224" s="160" t="e">
        <f t="shared" ca="1" si="161"/>
        <v>#N/A</v>
      </c>
      <c r="L224" s="101" t="e">
        <f t="shared" ca="1" si="136"/>
        <v>#N/A</v>
      </c>
      <c r="M224" s="101" t="e">
        <f t="shared" ca="1" si="137"/>
        <v>#N/A</v>
      </c>
      <c r="N224" s="101" t="e">
        <f t="shared" ca="1" si="162"/>
        <v>#N/A</v>
      </c>
      <c r="O224" s="285">
        <f t="shared" si="138"/>
        <v>2.6614485774049874E-3</v>
      </c>
      <c r="P224" s="99">
        <f t="shared" si="139"/>
        <v>2.6619999999999999E-3</v>
      </c>
      <c r="Q224" s="99">
        <f t="shared" si="166"/>
        <v>0.98535800000000018</v>
      </c>
      <c r="R224" s="99" t="e">
        <f t="shared" ca="1" si="140"/>
        <v>#N/A</v>
      </c>
      <c r="S224" s="161" t="e">
        <f t="shared" ca="1" si="167"/>
        <v>#N/A</v>
      </c>
      <c r="T224" s="286" t="e">
        <f t="shared" ca="1" si="141"/>
        <v>#N/A</v>
      </c>
      <c r="U224" s="285">
        <f t="shared" si="142"/>
        <v>1.6876630457394025E-4</v>
      </c>
      <c r="V224" s="99">
        <f t="shared" si="143"/>
        <v>1.6899999999999999E-4</v>
      </c>
      <c r="W224" s="99">
        <f t="shared" si="168"/>
        <v>0.99948599999999999</v>
      </c>
      <c r="X224" s="99" t="e">
        <f t="shared" ca="1" si="144"/>
        <v>#N/A</v>
      </c>
      <c r="Y224" s="161" t="e">
        <f t="shared" ca="1" si="169"/>
        <v>#N/A</v>
      </c>
      <c r="Z224" s="286" t="e">
        <f t="shared" ca="1" si="163"/>
        <v>#N/A</v>
      </c>
      <c r="AA224" s="285">
        <f t="shared" si="145"/>
        <v>1.0797948933567154E-2</v>
      </c>
      <c r="AB224" s="99">
        <f t="shared" si="146"/>
        <v>1.0945E-2</v>
      </c>
      <c r="AC224" s="99">
        <f t="shared" si="170"/>
        <v>0.88293100000000002</v>
      </c>
      <c r="AD224" s="99" t="e">
        <f t="shared" ca="1" si="147"/>
        <v>#N/A</v>
      </c>
      <c r="AE224" s="161" t="e">
        <f t="shared" ca="1" si="171"/>
        <v>#N/A</v>
      </c>
      <c r="AF224" s="286" t="e">
        <f t="shared" ca="1" si="148"/>
        <v>#N/A</v>
      </c>
      <c r="AG224" s="285">
        <f t="shared" si="149"/>
        <v>6.9605143047353924E-3</v>
      </c>
      <c r="AH224" s="99">
        <f t="shared" si="150"/>
        <v>6.9719999999999999E-3</v>
      </c>
      <c r="AI224" s="99">
        <f t="shared" si="172"/>
        <v>0.94855599999999984</v>
      </c>
      <c r="AJ224" s="99" t="e">
        <f t="shared" ca="1" si="151"/>
        <v>#N/A</v>
      </c>
      <c r="AK224" s="161" t="e">
        <f t="shared" ca="1" si="173"/>
        <v>#N/A</v>
      </c>
      <c r="AL224" s="286" t="e">
        <f t="shared" ca="1" si="152"/>
        <v>#N/A</v>
      </c>
      <c r="AM224" s="285">
        <f t="shared" si="153"/>
        <v>7.9253716470935511E-3</v>
      </c>
      <c r="AN224" s="99">
        <f t="shared" si="154"/>
        <v>7.9369999999999996E-3</v>
      </c>
      <c r="AO224" s="99">
        <f t="shared" si="174"/>
        <v>0.943137</v>
      </c>
      <c r="AP224" s="99" t="e">
        <f t="shared" ca="1" si="155"/>
        <v>#N/A</v>
      </c>
      <c r="AQ224" s="161" t="e">
        <f t="shared" ca="1" si="175"/>
        <v>#N/A</v>
      </c>
      <c r="AR224" s="286" t="e">
        <f t="shared" ca="1" si="156"/>
        <v>#N/A</v>
      </c>
      <c r="AS224" s="285">
        <f t="shared" si="157"/>
        <v>3.7748908303941219E-3</v>
      </c>
      <c r="AT224" s="99">
        <f t="shared" si="158"/>
        <v>3.777E-3</v>
      </c>
      <c r="AU224" s="99">
        <f t="shared" si="176"/>
        <v>0.97644300000000017</v>
      </c>
      <c r="AV224" s="99" t="e">
        <f t="shared" ca="1" si="159"/>
        <v>#N/A</v>
      </c>
      <c r="AW224" s="161" t="e">
        <f t="shared" ca="1" si="177"/>
        <v>#N/A</v>
      </c>
      <c r="AX224" s="286" t="e">
        <f t="shared" ca="1" si="160"/>
        <v>#N/A</v>
      </c>
    </row>
    <row r="225" spans="2:50" x14ac:dyDescent="0.25">
      <c r="B225" s="104">
        <f t="shared" si="164"/>
        <v>25</v>
      </c>
      <c r="C225" s="94">
        <v>26</v>
      </c>
      <c r="D225" s="94">
        <f t="shared" si="131"/>
        <v>2.2222189685945446E-3</v>
      </c>
      <c r="E225" s="94">
        <f t="shared" si="132"/>
        <v>2.2230000000000001E-3</v>
      </c>
      <c r="F225" s="94">
        <f t="shared" si="165"/>
        <v>0.98758100000000015</v>
      </c>
      <c r="G225" s="94" t="e">
        <f t="shared" ca="1" si="133"/>
        <v>#N/A</v>
      </c>
      <c r="H225" s="94" t="e">
        <f t="shared" ca="1" si="134"/>
        <v>#N/A</v>
      </c>
      <c r="I225" s="161" t="e">
        <f t="shared" ca="1" si="179"/>
        <v>#N/A</v>
      </c>
      <c r="J225" s="156" t="e">
        <f t="shared" ca="1" si="178"/>
        <v>#N/A</v>
      </c>
      <c r="K225" s="160" t="e">
        <f t="shared" ca="1" si="161"/>
        <v>#N/A</v>
      </c>
      <c r="L225" s="101" t="e">
        <f t="shared" ca="1" si="136"/>
        <v>#N/A</v>
      </c>
      <c r="M225" s="101" t="e">
        <f t="shared" ca="1" si="137"/>
        <v>#N/A</v>
      </c>
      <c r="N225" s="101" t="e">
        <f t="shared" ca="1" si="162"/>
        <v>#N/A</v>
      </c>
      <c r="O225" s="285">
        <f t="shared" si="138"/>
        <v>2.2222189685945446E-3</v>
      </c>
      <c r="P225" s="99">
        <f t="shared" si="139"/>
        <v>2.2230000000000001E-3</v>
      </c>
      <c r="Q225" s="99">
        <f t="shared" si="166"/>
        <v>0.98758100000000015</v>
      </c>
      <c r="R225" s="99" t="e">
        <f t="shared" ca="1" si="140"/>
        <v>#N/A</v>
      </c>
      <c r="S225" s="161" t="e">
        <f t="shared" ca="1" si="167"/>
        <v>#N/A</v>
      </c>
      <c r="T225" s="286" t="e">
        <f t="shared" ca="1" si="141"/>
        <v>#N/A</v>
      </c>
      <c r="U225" s="285">
        <f t="shared" si="142"/>
        <v>1.251075517505444E-4</v>
      </c>
      <c r="V225" s="99">
        <f t="shared" si="143"/>
        <v>1.25E-4</v>
      </c>
      <c r="W225" s="99">
        <f t="shared" si="168"/>
        <v>0.99961100000000003</v>
      </c>
      <c r="X225" s="99" t="e">
        <f t="shared" ca="1" si="144"/>
        <v>#N/A</v>
      </c>
      <c r="Y225" s="161" t="e">
        <f t="shared" ca="1" si="169"/>
        <v>#N/A</v>
      </c>
      <c r="Z225" s="286" t="e">
        <f t="shared" ca="1" si="163"/>
        <v>#N/A</v>
      </c>
      <c r="AA225" s="285">
        <f t="shared" si="145"/>
        <v>9.824404898080185E-3</v>
      </c>
      <c r="AB225" s="99">
        <f t="shared" si="146"/>
        <v>9.9590000000000008E-3</v>
      </c>
      <c r="AC225" s="99">
        <f t="shared" si="170"/>
        <v>0.89289000000000007</v>
      </c>
      <c r="AD225" s="99" t="e">
        <f t="shared" ca="1" si="147"/>
        <v>#N/A</v>
      </c>
      <c r="AE225" s="161" t="e">
        <f t="shared" ca="1" si="171"/>
        <v>#N/A</v>
      </c>
      <c r="AF225" s="286" t="e">
        <f t="shared" ca="1" si="148"/>
        <v>#N/A</v>
      </c>
      <c r="AG225" s="285">
        <f t="shared" si="149"/>
        <v>6.0728605563528763E-3</v>
      </c>
      <c r="AH225" s="99">
        <f t="shared" si="150"/>
        <v>6.0829999999999999E-3</v>
      </c>
      <c r="AI225" s="99">
        <f t="shared" si="172"/>
        <v>0.95463899999999979</v>
      </c>
      <c r="AJ225" s="99" t="e">
        <f t="shared" ca="1" si="151"/>
        <v>#N/A</v>
      </c>
      <c r="AK225" s="161" t="e">
        <f t="shared" ca="1" si="173"/>
        <v>#N/A</v>
      </c>
      <c r="AL225" s="286" t="e">
        <f t="shared" ca="1" si="152"/>
        <v>#N/A</v>
      </c>
      <c r="AM225" s="285">
        <f t="shared" si="153"/>
        <v>6.8984206370819858E-3</v>
      </c>
      <c r="AN225" s="99">
        <f t="shared" si="154"/>
        <v>6.9090000000000002E-3</v>
      </c>
      <c r="AO225" s="99">
        <f t="shared" si="174"/>
        <v>0.95004600000000006</v>
      </c>
      <c r="AP225" s="99" t="e">
        <f t="shared" ca="1" si="155"/>
        <v>#N/A</v>
      </c>
      <c r="AQ225" s="161" t="e">
        <f t="shared" ca="1" si="175"/>
        <v>#N/A</v>
      </c>
      <c r="AR225" s="286" t="e">
        <f t="shared" ca="1" si="156"/>
        <v>#N/A</v>
      </c>
      <c r="AS225" s="285">
        <f t="shared" si="157"/>
        <v>3.213056305861908E-3</v>
      </c>
      <c r="AT225" s="99">
        <f t="shared" si="158"/>
        <v>3.215E-3</v>
      </c>
      <c r="AU225" s="99">
        <f t="shared" si="176"/>
        <v>0.97965800000000014</v>
      </c>
      <c r="AV225" s="99" t="e">
        <f t="shared" ca="1" si="159"/>
        <v>#N/A</v>
      </c>
      <c r="AW225" s="161" t="e">
        <f t="shared" ca="1" si="177"/>
        <v>#N/A</v>
      </c>
      <c r="AX225" s="286" t="e">
        <f t="shared" ca="1" si="160"/>
        <v>#N/A</v>
      </c>
    </row>
    <row r="226" spans="2:50" x14ac:dyDescent="0.25">
      <c r="B226" s="104">
        <f t="shared" si="164"/>
        <v>26</v>
      </c>
      <c r="C226" s="94">
        <v>27</v>
      </c>
      <c r="D226" s="94">
        <f t="shared" si="131"/>
        <v>1.8607378448446874E-3</v>
      </c>
      <c r="E226" s="94">
        <f t="shared" si="132"/>
        <v>1.861E-3</v>
      </c>
      <c r="F226" s="94">
        <f t="shared" si="165"/>
        <v>0.98944200000000015</v>
      </c>
      <c r="G226" s="94" t="e">
        <f t="shared" ca="1" si="133"/>
        <v>#N/A</v>
      </c>
      <c r="H226" s="94" t="e">
        <f t="shared" ca="1" si="134"/>
        <v>#N/A</v>
      </c>
      <c r="I226" s="161" t="e">
        <f t="shared" ca="1" si="179"/>
        <v>#N/A</v>
      </c>
      <c r="J226" s="156" t="e">
        <f t="shared" ca="1" si="178"/>
        <v>#N/A</v>
      </c>
      <c r="K226" s="160" t="e">
        <f t="shared" ca="1" si="161"/>
        <v>#N/A</v>
      </c>
      <c r="L226" s="101" t="e">
        <f t="shared" ca="1" si="136"/>
        <v>#N/A</v>
      </c>
      <c r="M226" s="101" t="e">
        <f t="shared" ca="1" si="137"/>
        <v>#N/A</v>
      </c>
      <c r="N226" s="101" t="e">
        <f t="shared" ca="1" si="162"/>
        <v>#N/A</v>
      </c>
      <c r="O226" s="285">
        <f t="shared" si="138"/>
        <v>1.8607378448446874E-3</v>
      </c>
      <c r="P226" s="99">
        <f t="shared" si="139"/>
        <v>1.861E-3</v>
      </c>
      <c r="Q226" s="99">
        <f t="shared" si="166"/>
        <v>0.98944200000000015</v>
      </c>
      <c r="R226" s="99" t="e">
        <f t="shared" ca="1" si="140"/>
        <v>#N/A</v>
      </c>
      <c r="S226" s="161" t="e">
        <f t="shared" ca="1" si="167"/>
        <v>#N/A</v>
      </c>
      <c r="T226" s="286" t="e">
        <f t="shared" ca="1" si="141"/>
        <v>#N/A</v>
      </c>
      <c r="U226" s="285">
        <f t="shared" si="142"/>
        <v>9.3241877179279419E-5</v>
      </c>
      <c r="V226" s="99">
        <f t="shared" si="143"/>
        <v>9.2999999999999997E-5</v>
      </c>
      <c r="W226" s="99">
        <f t="shared" si="168"/>
        <v>0.99970400000000004</v>
      </c>
      <c r="X226" s="99" t="e">
        <f t="shared" ca="1" si="144"/>
        <v>#N/A</v>
      </c>
      <c r="Y226" s="161" t="e">
        <f t="shared" ca="1" si="169"/>
        <v>#N/A</v>
      </c>
      <c r="Z226" s="286" t="e">
        <f t="shared" ca="1" si="163"/>
        <v>#N/A</v>
      </c>
      <c r="AA226" s="285">
        <f t="shared" si="145"/>
        <v>8.9503398998310654E-3</v>
      </c>
      <c r="AB226" s="99">
        <f t="shared" si="146"/>
        <v>9.0729999999999995E-3</v>
      </c>
      <c r="AC226" s="99">
        <f t="shared" si="170"/>
        <v>0.90196300000000007</v>
      </c>
      <c r="AD226" s="99" t="e">
        <f t="shared" ca="1" si="147"/>
        <v>#N/A</v>
      </c>
      <c r="AE226" s="161" t="e">
        <f t="shared" ca="1" si="171"/>
        <v>#N/A</v>
      </c>
      <c r="AF226" s="286" t="e">
        <f t="shared" ca="1" si="148"/>
        <v>#N/A</v>
      </c>
      <c r="AG226" s="285">
        <f t="shared" si="149"/>
        <v>5.3075969860392818E-3</v>
      </c>
      <c r="AH226" s="99">
        <f t="shared" si="150"/>
        <v>5.3169999999999997E-3</v>
      </c>
      <c r="AI226" s="99">
        <f t="shared" si="172"/>
        <v>0.95995599999999981</v>
      </c>
      <c r="AJ226" s="99" t="e">
        <f t="shared" ca="1" si="151"/>
        <v>#N/A</v>
      </c>
      <c r="AK226" s="161" t="e">
        <f t="shared" ca="1" si="173"/>
        <v>#N/A</v>
      </c>
      <c r="AL226" s="286" t="e">
        <f t="shared" ca="1" si="152"/>
        <v>#N/A</v>
      </c>
      <c r="AM226" s="285">
        <f t="shared" si="153"/>
        <v>6.013165957866635E-3</v>
      </c>
      <c r="AN226" s="99">
        <f t="shared" si="154"/>
        <v>6.0219999999999996E-3</v>
      </c>
      <c r="AO226" s="99">
        <f t="shared" si="174"/>
        <v>0.95606800000000003</v>
      </c>
      <c r="AP226" s="99" t="e">
        <f t="shared" ca="1" si="155"/>
        <v>#N/A</v>
      </c>
      <c r="AQ226" s="161" t="e">
        <f t="shared" ca="1" si="175"/>
        <v>#N/A</v>
      </c>
      <c r="AR226" s="286" t="e">
        <f t="shared" ca="1" si="156"/>
        <v>#N/A</v>
      </c>
      <c r="AS226" s="285">
        <f t="shared" si="157"/>
        <v>2.7416666256641891E-3</v>
      </c>
      <c r="AT226" s="99">
        <f t="shared" si="158"/>
        <v>2.7430000000000002E-3</v>
      </c>
      <c r="AU226" s="99">
        <f t="shared" si="176"/>
        <v>0.98240100000000019</v>
      </c>
      <c r="AV226" s="99" t="e">
        <f t="shared" ca="1" si="159"/>
        <v>#N/A</v>
      </c>
      <c r="AW226" s="161" t="e">
        <f t="shared" ca="1" si="177"/>
        <v>#N/A</v>
      </c>
      <c r="AX226" s="286" t="e">
        <f t="shared" ca="1" si="160"/>
        <v>#N/A</v>
      </c>
    </row>
    <row r="227" spans="2:50" x14ac:dyDescent="0.25">
      <c r="B227" s="104">
        <f t="shared" si="164"/>
        <v>27</v>
      </c>
      <c r="C227" s="94">
        <v>28</v>
      </c>
      <c r="D227" s="94">
        <f t="shared" si="131"/>
        <v>1.5623751653792107E-3</v>
      </c>
      <c r="E227" s="94">
        <f t="shared" si="132"/>
        <v>1.5629999999999999E-3</v>
      </c>
      <c r="F227" s="94">
        <f t="shared" si="165"/>
        <v>0.99100500000000014</v>
      </c>
      <c r="G227" s="94" t="e">
        <f t="shared" ca="1" si="133"/>
        <v>#N/A</v>
      </c>
      <c r="H227" s="94" t="e">
        <f t="shared" ca="1" si="134"/>
        <v>#N/A</v>
      </c>
      <c r="I227" s="161" t="e">
        <f t="shared" ca="1" si="179"/>
        <v>#N/A</v>
      </c>
      <c r="J227" s="156" t="e">
        <f t="shared" ca="1" si="178"/>
        <v>#N/A</v>
      </c>
      <c r="K227" s="160" t="e">
        <f t="shared" ca="1" si="161"/>
        <v>#N/A</v>
      </c>
      <c r="L227" s="101" t="e">
        <f t="shared" ca="1" si="136"/>
        <v>#N/A</v>
      </c>
      <c r="M227" s="101" t="e">
        <f t="shared" ca="1" si="137"/>
        <v>#N/A</v>
      </c>
      <c r="N227" s="101" t="e">
        <f t="shared" ca="1" si="162"/>
        <v>#N/A</v>
      </c>
      <c r="O227" s="285">
        <f t="shared" si="138"/>
        <v>1.5623751653792107E-3</v>
      </c>
      <c r="P227" s="99">
        <f t="shared" si="139"/>
        <v>1.5629999999999999E-3</v>
      </c>
      <c r="Q227" s="99">
        <f t="shared" si="166"/>
        <v>0.99100500000000014</v>
      </c>
      <c r="R227" s="99" t="e">
        <f t="shared" ca="1" si="140"/>
        <v>#N/A</v>
      </c>
      <c r="S227" s="161" t="e">
        <f t="shared" ca="1" si="167"/>
        <v>#N/A</v>
      </c>
      <c r="T227" s="286" t="e">
        <f t="shared" ca="1" si="141"/>
        <v>#N/A</v>
      </c>
      <c r="U227" s="285">
        <f t="shared" si="142"/>
        <v>6.9853913751640335E-5</v>
      </c>
      <c r="V227" s="99">
        <f t="shared" si="143"/>
        <v>6.9999999999999994E-5</v>
      </c>
      <c r="W227" s="99">
        <f t="shared" si="168"/>
        <v>0.99977400000000005</v>
      </c>
      <c r="X227" s="99" t="e">
        <f t="shared" ca="1" si="144"/>
        <v>#N/A</v>
      </c>
      <c r="Y227" s="161" t="e">
        <f t="shared" ca="1" si="169"/>
        <v>#N/A</v>
      </c>
      <c r="Z227" s="286" t="e">
        <f t="shared" ca="1" si="163"/>
        <v>#N/A</v>
      </c>
      <c r="AA227" s="285">
        <f t="shared" si="145"/>
        <v>8.1645973578734349E-3</v>
      </c>
      <c r="AB227" s="99">
        <f t="shared" si="146"/>
        <v>8.2760000000000004E-3</v>
      </c>
      <c r="AC227" s="99">
        <f t="shared" si="170"/>
        <v>0.91023900000000002</v>
      </c>
      <c r="AD227" s="99" t="e">
        <f t="shared" ca="1" si="147"/>
        <v>#N/A</v>
      </c>
      <c r="AE227" s="161" t="e">
        <f t="shared" ca="1" si="171"/>
        <v>#N/A</v>
      </c>
      <c r="AF227" s="286" t="e">
        <f t="shared" ca="1" si="148"/>
        <v>#N/A</v>
      </c>
      <c r="AG227" s="285">
        <f t="shared" si="149"/>
        <v>4.6467943321189384E-3</v>
      </c>
      <c r="AH227" s="99">
        <f t="shared" si="150"/>
        <v>4.6550000000000003E-3</v>
      </c>
      <c r="AI227" s="99">
        <f t="shared" si="172"/>
        <v>0.96461099999999977</v>
      </c>
      <c r="AJ227" s="99" t="e">
        <f t="shared" ca="1" si="151"/>
        <v>#N/A</v>
      </c>
      <c r="AK227" s="161" t="e">
        <f t="shared" ca="1" si="173"/>
        <v>#N/A</v>
      </c>
      <c r="AL227" s="286" t="e">
        <f t="shared" ca="1" si="152"/>
        <v>#N/A</v>
      </c>
      <c r="AM227" s="285">
        <f t="shared" si="153"/>
        <v>5.2492083369646862E-3</v>
      </c>
      <c r="AN227" s="99">
        <f t="shared" si="154"/>
        <v>5.2570000000000004E-3</v>
      </c>
      <c r="AO227" s="99">
        <f t="shared" si="174"/>
        <v>0.96132499999999999</v>
      </c>
      <c r="AP227" s="99" t="e">
        <f t="shared" ca="1" si="155"/>
        <v>#N/A</v>
      </c>
      <c r="AQ227" s="161" t="e">
        <f t="shared" ca="1" si="175"/>
        <v>#N/A</v>
      </c>
      <c r="AR227" s="286" t="e">
        <f t="shared" ca="1" si="156"/>
        <v>#N/A</v>
      </c>
      <c r="AS227" s="285">
        <f t="shared" si="157"/>
        <v>2.3451480614694346E-3</v>
      </c>
      <c r="AT227" s="99">
        <f t="shared" si="158"/>
        <v>2.346E-3</v>
      </c>
      <c r="AU227" s="99">
        <f t="shared" si="176"/>
        <v>0.98474700000000015</v>
      </c>
      <c r="AV227" s="99" t="e">
        <f t="shared" ca="1" si="159"/>
        <v>#N/A</v>
      </c>
      <c r="AW227" s="161" t="e">
        <f t="shared" ca="1" si="177"/>
        <v>#N/A</v>
      </c>
      <c r="AX227" s="286" t="e">
        <f t="shared" ca="1" si="160"/>
        <v>#N/A</v>
      </c>
    </row>
    <row r="228" spans="2:50" x14ac:dyDescent="0.25">
      <c r="B228" s="104">
        <f t="shared" si="164"/>
        <v>28</v>
      </c>
      <c r="C228" s="94">
        <v>29</v>
      </c>
      <c r="D228" s="94">
        <f t="shared" si="131"/>
        <v>1.3154009647814789E-3</v>
      </c>
      <c r="E228" s="94">
        <f t="shared" si="132"/>
        <v>1.3159999999999999E-3</v>
      </c>
      <c r="F228" s="94">
        <f t="shared" si="165"/>
        <v>0.99232100000000012</v>
      </c>
      <c r="G228" s="94" t="e">
        <f t="shared" ca="1" si="133"/>
        <v>#N/A</v>
      </c>
      <c r="H228" s="94" t="e">
        <f t="shared" ca="1" si="134"/>
        <v>#N/A</v>
      </c>
      <c r="I228" s="161" t="e">
        <f t="shared" ca="1" si="179"/>
        <v>#N/A</v>
      </c>
      <c r="J228" s="156" t="e">
        <f t="shared" ca="1" si="178"/>
        <v>#N/A</v>
      </c>
      <c r="K228" s="160" t="e">
        <f t="shared" ca="1" si="161"/>
        <v>#N/A</v>
      </c>
      <c r="L228" s="101" t="e">
        <f t="shared" ca="1" si="136"/>
        <v>#N/A</v>
      </c>
      <c r="M228" s="101" t="e">
        <f t="shared" ca="1" si="137"/>
        <v>#N/A</v>
      </c>
      <c r="N228" s="101" t="e">
        <f t="shared" ca="1" si="162"/>
        <v>#N/A</v>
      </c>
      <c r="O228" s="285">
        <f t="shared" si="138"/>
        <v>1.3154009647814789E-3</v>
      </c>
      <c r="P228" s="99">
        <f t="shared" si="139"/>
        <v>1.3159999999999999E-3</v>
      </c>
      <c r="Q228" s="99">
        <f t="shared" si="166"/>
        <v>0.99232100000000012</v>
      </c>
      <c r="R228" s="99" t="e">
        <f t="shared" ca="1" si="140"/>
        <v>#N/A</v>
      </c>
      <c r="S228" s="161" t="e">
        <f t="shared" ca="1" si="167"/>
        <v>#N/A</v>
      </c>
      <c r="T228" s="286" t="e">
        <f t="shared" ca="1" si="141"/>
        <v>#N/A</v>
      </c>
      <c r="U228" s="285">
        <f t="shared" si="142"/>
        <v>5.2595318784662845E-5</v>
      </c>
      <c r="V228" s="99">
        <f t="shared" si="143"/>
        <v>5.3000000000000001E-5</v>
      </c>
      <c r="W228" s="99">
        <f t="shared" si="168"/>
        <v>0.99982700000000002</v>
      </c>
      <c r="X228" s="99" t="e">
        <f t="shared" ca="1" si="144"/>
        <v>#N/A</v>
      </c>
      <c r="Y228" s="161" t="e">
        <f t="shared" ca="1" si="169"/>
        <v>#N/A</v>
      </c>
      <c r="Z228" s="286" t="e">
        <f t="shared" ca="1" si="163"/>
        <v>#N/A</v>
      </c>
      <c r="AA228" s="285">
        <f t="shared" si="145"/>
        <v>7.4573394177665283E-3</v>
      </c>
      <c r="AB228" s="99">
        <f t="shared" si="146"/>
        <v>7.5589999999999997E-3</v>
      </c>
      <c r="AC228" s="99">
        <f t="shared" si="170"/>
        <v>0.917798</v>
      </c>
      <c r="AD228" s="99" t="e">
        <f t="shared" ca="1" si="147"/>
        <v>#N/A</v>
      </c>
      <c r="AE228" s="161" t="e">
        <f t="shared" ca="1" si="171"/>
        <v>#N/A</v>
      </c>
      <c r="AF228" s="286" t="e">
        <f t="shared" ca="1" si="148"/>
        <v>#N/A</v>
      </c>
      <c r="AG228" s="285">
        <f t="shared" si="149"/>
        <v>4.0752533020004178E-3</v>
      </c>
      <c r="AH228" s="99">
        <f t="shared" si="150"/>
        <v>4.0819999999999997E-3</v>
      </c>
      <c r="AI228" s="99">
        <f t="shared" si="172"/>
        <v>0.9686929999999998</v>
      </c>
      <c r="AJ228" s="99" t="e">
        <f t="shared" ca="1" si="151"/>
        <v>#N/A</v>
      </c>
      <c r="AK228" s="161" t="e">
        <f t="shared" ca="1" si="173"/>
        <v>#N/A</v>
      </c>
      <c r="AL228" s="286" t="e">
        <f t="shared" ca="1" si="152"/>
        <v>#N/A</v>
      </c>
      <c r="AM228" s="285">
        <f t="shared" si="153"/>
        <v>4.5891224761996884E-3</v>
      </c>
      <c r="AN228" s="99">
        <f t="shared" si="154"/>
        <v>4.5960000000000003E-3</v>
      </c>
      <c r="AO228" s="99">
        <f t="shared" si="174"/>
        <v>0.96592100000000003</v>
      </c>
      <c r="AP228" s="99" t="e">
        <f t="shared" ca="1" si="155"/>
        <v>#N/A</v>
      </c>
      <c r="AQ228" s="161" t="e">
        <f t="shared" ca="1" si="175"/>
        <v>#N/A</v>
      </c>
      <c r="AR228" s="286" t="e">
        <f t="shared" ca="1" si="156"/>
        <v>#N/A</v>
      </c>
      <c r="AS228" s="285">
        <f t="shared" si="157"/>
        <v>2.01076228853803E-3</v>
      </c>
      <c r="AT228" s="99">
        <f t="shared" si="158"/>
        <v>2.0119999999999999E-3</v>
      </c>
      <c r="AU228" s="99">
        <f t="shared" si="176"/>
        <v>0.98675900000000016</v>
      </c>
      <c r="AV228" s="99" t="e">
        <f t="shared" ca="1" si="159"/>
        <v>#N/A</v>
      </c>
      <c r="AW228" s="161" t="e">
        <f t="shared" ca="1" si="177"/>
        <v>#N/A</v>
      </c>
      <c r="AX228" s="286" t="e">
        <f t="shared" ca="1" si="160"/>
        <v>#N/A</v>
      </c>
    </row>
    <row r="229" spans="2:50" x14ac:dyDescent="0.25">
      <c r="B229" s="104">
        <f t="shared" si="164"/>
        <v>29</v>
      </c>
      <c r="C229" s="94">
        <v>30</v>
      </c>
      <c r="D229" s="94">
        <f t="shared" si="131"/>
        <v>1.1103856750953145E-3</v>
      </c>
      <c r="E229" s="94">
        <f t="shared" si="132"/>
        <v>1.111E-3</v>
      </c>
      <c r="F229" s="94">
        <f t="shared" si="165"/>
        <v>0.99343200000000009</v>
      </c>
      <c r="G229" s="94" t="e">
        <f t="shared" ca="1" si="133"/>
        <v>#N/A</v>
      </c>
      <c r="H229" s="94" t="e">
        <f t="shared" ca="1" si="134"/>
        <v>#N/A</v>
      </c>
      <c r="I229" s="161" t="e">
        <f t="shared" ca="1" si="179"/>
        <v>#N/A</v>
      </c>
      <c r="J229" s="156" t="e">
        <f t="shared" ca="1" si="178"/>
        <v>#N/A</v>
      </c>
      <c r="K229" s="160" t="e">
        <f t="shared" ca="1" si="161"/>
        <v>#N/A</v>
      </c>
      <c r="L229" s="101" t="e">
        <f t="shared" ca="1" si="136"/>
        <v>#N/A</v>
      </c>
      <c r="M229" s="101" t="e">
        <f t="shared" ca="1" si="137"/>
        <v>#N/A</v>
      </c>
      <c r="N229" s="101" t="e">
        <f t="shared" ca="1" si="162"/>
        <v>#N/A</v>
      </c>
      <c r="O229" s="285">
        <f t="shared" si="138"/>
        <v>1.1103856750953145E-3</v>
      </c>
      <c r="P229" s="99">
        <f t="shared" si="139"/>
        <v>1.111E-3</v>
      </c>
      <c r="Q229" s="99">
        <f t="shared" si="166"/>
        <v>0.99343200000000009</v>
      </c>
      <c r="R229" s="99" t="e">
        <f t="shared" ca="1" si="140"/>
        <v>#N/A</v>
      </c>
      <c r="S229" s="161" t="e">
        <f t="shared" ca="1" si="167"/>
        <v>#N/A</v>
      </c>
      <c r="T229" s="286" t="e">
        <f t="shared" ca="1" si="141"/>
        <v>#N/A</v>
      </c>
      <c r="U229" s="285">
        <f t="shared" si="142"/>
        <v>3.979299336843938E-5</v>
      </c>
      <c r="V229" s="99">
        <f t="shared" si="143"/>
        <v>4.0000000000000003E-5</v>
      </c>
      <c r="W229" s="99">
        <f t="shared" si="168"/>
        <v>0.99986700000000006</v>
      </c>
      <c r="X229" s="99" t="e">
        <f t="shared" ca="1" si="144"/>
        <v>#N/A</v>
      </c>
      <c r="Y229" s="161" t="e">
        <f t="shared" ca="1" si="169"/>
        <v>#N/A</v>
      </c>
      <c r="Z229" s="286" t="e">
        <f t="shared" ca="1" si="163"/>
        <v>#N/A</v>
      </c>
      <c r="AA229" s="285">
        <f t="shared" si="145"/>
        <v>6.8198935934043435E-3</v>
      </c>
      <c r="AB229" s="99">
        <f t="shared" si="146"/>
        <v>6.9129999999999999E-3</v>
      </c>
      <c r="AC229" s="99">
        <f t="shared" si="170"/>
        <v>0.92471099999999995</v>
      </c>
      <c r="AD229" s="99" t="e">
        <f t="shared" ca="1" si="147"/>
        <v>#N/A</v>
      </c>
      <c r="AE229" s="161" t="e">
        <f t="shared" ca="1" si="171"/>
        <v>#N/A</v>
      </c>
      <c r="AF229" s="286" t="e">
        <f t="shared" ca="1" si="148"/>
        <v>#N/A</v>
      </c>
      <c r="AG229" s="285">
        <f t="shared" si="149"/>
        <v>3.5800866621878689E-3</v>
      </c>
      <c r="AH229" s="99">
        <f t="shared" si="150"/>
        <v>3.5860000000000002E-3</v>
      </c>
      <c r="AI229" s="99">
        <f t="shared" si="172"/>
        <v>0.97227899999999978</v>
      </c>
      <c r="AJ229" s="99" t="e">
        <f t="shared" ca="1" si="151"/>
        <v>#N/A</v>
      </c>
      <c r="AK229" s="161" t="e">
        <f t="shared" ca="1" si="173"/>
        <v>#N/A</v>
      </c>
      <c r="AL229" s="286" t="e">
        <f t="shared" ca="1" si="152"/>
        <v>#N/A</v>
      </c>
      <c r="AM229" s="285">
        <f t="shared" si="153"/>
        <v>4.0180420123171485E-3</v>
      </c>
      <c r="AN229" s="99">
        <f t="shared" si="154"/>
        <v>4.0239999999999998E-3</v>
      </c>
      <c r="AO229" s="99">
        <f t="shared" si="174"/>
        <v>0.96994500000000006</v>
      </c>
      <c r="AP229" s="99" t="e">
        <f t="shared" ca="1" si="155"/>
        <v>#N/A</v>
      </c>
      <c r="AQ229" s="161" t="e">
        <f t="shared" ca="1" si="175"/>
        <v>#N/A</v>
      </c>
      <c r="AR229" s="286" t="e">
        <f t="shared" ca="1" si="156"/>
        <v>#N/A</v>
      </c>
      <c r="AS229" s="285">
        <f t="shared" si="157"/>
        <v>1.7280676135097844E-3</v>
      </c>
      <c r="AT229" s="99">
        <f t="shared" si="158"/>
        <v>1.7290000000000001E-3</v>
      </c>
      <c r="AU229" s="99">
        <f t="shared" si="176"/>
        <v>0.98848800000000014</v>
      </c>
      <c r="AV229" s="99" t="e">
        <f t="shared" ca="1" si="159"/>
        <v>#N/A</v>
      </c>
      <c r="AW229" s="161" t="e">
        <f t="shared" ca="1" si="177"/>
        <v>#N/A</v>
      </c>
      <c r="AX229" s="286" t="e">
        <f t="shared" ca="1" si="160"/>
        <v>#N/A</v>
      </c>
    </row>
    <row r="230" spans="2:50" x14ac:dyDescent="0.25">
      <c r="B230" s="104">
        <f t="shared" si="164"/>
        <v>30</v>
      </c>
      <c r="C230" s="94">
        <v>31</v>
      </c>
      <c r="D230" s="94">
        <f t="shared" si="131"/>
        <v>9.3972830995026535E-4</v>
      </c>
      <c r="E230" s="94">
        <f t="shared" si="132"/>
        <v>9.3999999999999997E-4</v>
      </c>
      <c r="F230" s="94">
        <f t="shared" si="165"/>
        <v>0.99437200000000014</v>
      </c>
      <c r="G230" s="94" t="e">
        <f t="shared" ca="1" si="133"/>
        <v>#N/A</v>
      </c>
      <c r="H230" s="94" t="e">
        <f t="shared" ca="1" si="134"/>
        <v>#N/A</v>
      </c>
      <c r="I230" s="161" t="e">
        <f t="shared" ca="1" si="179"/>
        <v>#N/A</v>
      </c>
      <c r="J230" s="156" t="e">
        <f t="shared" ca="1" si="178"/>
        <v>#N/A</v>
      </c>
      <c r="K230" s="160" t="e">
        <f t="shared" ca="1" si="161"/>
        <v>#N/A</v>
      </c>
      <c r="L230" s="101" t="e">
        <f t="shared" ca="1" si="136"/>
        <v>#N/A</v>
      </c>
      <c r="M230" s="101" t="e">
        <f t="shared" ca="1" si="137"/>
        <v>#N/A</v>
      </c>
      <c r="N230" s="101" t="e">
        <f t="shared" ca="1" si="162"/>
        <v>#N/A</v>
      </c>
      <c r="O230" s="285">
        <f t="shared" si="138"/>
        <v>9.3972830995026535E-4</v>
      </c>
      <c r="P230" s="99">
        <f t="shared" si="139"/>
        <v>9.3999999999999997E-4</v>
      </c>
      <c r="Q230" s="99">
        <f t="shared" si="166"/>
        <v>0.99437200000000014</v>
      </c>
      <c r="R230" s="99" t="e">
        <f t="shared" ca="1" si="140"/>
        <v>#N/A</v>
      </c>
      <c r="S230" s="161" t="e">
        <f t="shared" ca="1" si="167"/>
        <v>#N/A</v>
      </c>
      <c r="T230" s="286" t="e">
        <f t="shared" ca="1" si="141"/>
        <v>#N/A</v>
      </c>
      <c r="U230" s="285">
        <f t="shared" si="142"/>
        <v>3.0248113538498467E-5</v>
      </c>
      <c r="V230" s="99">
        <f t="shared" si="143"/>
        <v>3.0000000000000001E-5</v>
      </c>
      <c r="W230" s="99">
        <f t="shared" si="168"/>
        <v>0.99989700000000004</v>
      </c>
      <c r="X230" s="99" t="e">
        <f t="shared" ca="1" si="144"/>
        <v>#N/A</v>
      </c>
      <c r="Y230" s="161" t="e">
        <f t="shared" ca="1" si="169"/>
        <v>#N/A</v>
      </c>
      <c r="Z230" s="286" t="e">
        <f t="shared" ca="1" si="163"/>
        <v>#N/A</v>
      </c>
      <c r="AA230" s="285">
        <f t="shared" si="145"/>
        <v>6.2446139010798032E-3</v>
      </c>
      <c r="AB230" s="99">
        <f t="shared" si="146"/>
        <v>6.3299999999999997E-3</v>
      </c>
      <c r="AC230" s="99">
        <f t="shared" si="170"/>
        <v>0.9310409999999999</v>
      </c>
      <c r="AD230" s="99" t="e">
        <f t="shared" ca="1" si="147"/>
        <v>#N/A</v>
      </c>
      <c r="AE230" s="161" t="e">
        <f t="shared" ca="1" si="171"/>
        <v>#N/A</v>
      </c>
      <c r="AF230" s="286" t="e">
        <f t="shared" ca="1" si="148"/>
        <v>#N/A</v>
      </c>
      <c r="AG230" s="285">
        <f t="shared" si="149"/>
        <v>3.1503615250078544E-3</v>
      </c>
      <c r="AH230" s="99">
        <f t="shared" si="150"/>
        <v>3.156E-3</v>
      </c>
      <c r="AI230" s="99">
        <f t="shared" si="172"/>
        <v>0.97543499999999983</v>
      </c>
      <c r="AJ230" s="99" t="e">
        <f t="shared" ca="1" si="151"/>
        <v>#N/A</v>
      </c>
      <c r="AK230" s="161" t="e">
        <f t="shared" ca="1" si="173"/>
        <v>#N/A</v>
      </c>
      <c r="AL230" s="286" t="e">
        <f t="shared" ca="1" si="152"/>
        <v>#N/A</v>
      </c>
      <c r="AM230" s="285">
        <f t="shared" si="153"/>
        <v>3.5232918146999911E-3</v>
      </c>
      <c r="AN230" s="99">
        <f t="shared" si="154"/>
        <v>3.529E-3</v>
      </c>
      <c r="AO230" s="99">
        <f t="shared" si="174"/>
        <v>0.97347400000000006</v>
      </c>
      <c r="AP230" s="99" t="e">
        <f t="shared" ca="1" si="155"/>
        <v>#N/A</v>
      </c>
      <c r="AQ230" s="161" t="e">
        <f t="shared" ca="1" si="175"/>
        <v>#N/A</v>
      </c>
      <c r="AR230" s="286" t="e">
        <f t="shared" ca="1" si="156"/>
        <v>#N/A</v>
      </c>
      <c r="AS230" s="285">
        <f t="shared" si="157"/>
        <v>1.4884853094401292E-3</v>
      </c>
      <c r="AT230" s="99">
        <f t="shared" si="158"/>
        <v>1.4890000000000001E-3</v>
      </c>
      <c r="AU230" s="99">
        <f t="shared" si="176"/>
        <v>0.98997700000000011</v>
      </c>
      <c r="AV230" s="99" t="e">
        <f t="shared" ca="1" si="159"/>
        <v>#N/A</v>
      </c>
      <c r="AW230" s="161" t="e">
        <f t="shared" ca="1" si="177"/>
        <v>#N/A</v>
      </c>
      <c r="AX230" s="286" t="e">
        <f t="shared" ca="1" si="160"/>
        <v>#N/A</v>
      </c>
    </row>
    <row r="231" spans="2:50" x14ac:dyDescent="0.25">
      <c r="B231" s="104">
        <f t="shared" si="164"/>
        <v>31</v>
      </c>
      <c r="C231" s="94">
        <v>32</v>
      </c>
      <c r="D231" s="94">
        <f t="shared" si="131"/>
        <v>7.9728482832450371E-4</v>
      </c>
      <c r="E231" s="94">
        <f t="shared" si="132"/>
        <v>7.9799999999999999E-4</v>
      </c>
      <c r="F231" s="94">
        <f t="shared" si="165"/>
        <v>0.99517000000000011</v>
      </c>
      <c r="G231" s="94" t="e">
        <f t="shared" ca="1" si="133"/>
        <v>#N/A</v>
      </c>
      <c r="H231" s="94" t="e">
        <f t="shared" ca="1" si="134"/>
        <v>#N/A</v>
      </c>
      <c r="I231" s="161" t="e">
        <f t="shared" ca="1" si="179"/>
        <v>#N/A</v>
      </c>
      <c r="J231" s="156" t="e">
        <f t="shared" ca="1" si="178"/>
        <v>#N/A</v>
      </c>
      <c r="K231" s="160" t="e">
        <f t="shared" ca="1" si="161"/>
        <v>#N/A</v>
      </c>
      <c r="L231" s="101" t="e">
        <f t="shared" ca="1" si="136"/>
        <v>#N/A</v>
      </c>
      <c r="M231" s="101" t="e">
        <f t="shared" ca="1" si="137"/>
        <v>#N/A</v>
      </c>
      <c r="N231" s="101" t="e">
        <f t="shared" ca="1" si="162"/>
        <v>#N/A</v>
      </c>
      <c r="O231" s="285">
        <f t="shared" si="138"/>
        <v>7.9728482832450371E-4</v>
      </c>
      <c r="P231" s="99">
        <f t="shared" si="139"/>
        <v>7.9799999999999999E-4</v>
      </c>
      <c r="Q231" s="99">
        <f t="shared" si="166"/>
        <v>0.99517000000000011</v>
      </c>
      <c r="R231" s="99" t="e">
        <f t="shared" ca="1" si="140"/>
        <v>#N/A</v>
      </c>
      <c r="S231" s="161" t="e">
        <f t="shared" ca="1" si="167"/>
        <v>#N/A</v>
      </c>
      <c r="T231" s="286" t="e">
        <f t="shared" ca="1" si="141"/>
        <v>#N/A</v>
      </c>
      <c r="U231" s="285">
        <f t="shared" si="142"/>
        <v>2.3096901577196631E-5</v>
      </c>
      <c r="V231" s="99">
        <f t="shared" si="143"/>
        <v>2.3E-5</v>
      </c>
      <c r="W231" s="99">
        <f t="shared" si="168"/>
        <v>0.99992000000000003</v>
      </c>
      <c r="X231" s="99" t="e">
        <f t="shared" ca="1" si="144"/>
        <v>#N/A</v>
      </c>
      <c r="Y231" s="161" t="e">
        <f t="shared" ca="1" si="169"/>
        <v>#N/A</v>
      </c>
      <c r="Z231" s="286" t="e">
        <f t="shared" ca="1" si="163"/>
        <v>#N/A</v>
      </c>
      <c r="AA231" s="285">
        <f t="shared" si="145"/>
        <v>5.7247566035583865E-3</v>
      </c>
      <c r="AB231" s="99">
        <f t="shared" si="146"/>
        <v>5.803E-3</v>
      </c>
      <c r="AC231" s="99">
        <f t="shared" si="170"/>
        <v>0.9368439999999999</v>
      </c>
      <c r="AD231" s="99" t="e">
        <f t="shared" ca="1" si="147"/>
        <v>#N/A</v>
      </c>
      <c r="AE231" s="161" t="e">
        <f t="shared" ca="1" si="171"/>
        <v>#N/A</v>
      </c>
      <c r="AF231" s="286" t="e">
        <f t="shared" ca="1" si="148"/>
        <v>#N/A</v>
      </c>
      <c r="AG231" s="285">
        <f t="shared" si="149"/>
        <v>2.7767952122955452E-3</v>
      </c>
      <c r="AH231" s="99">
        <f t="shared" si="150"/>
        <v>2.7810000000000001E-3</v>
      </c>
      <c r="AI231" s="99">
        <f t="shared" si="172"/>
        <v>0.97821599999999986</v>
      </c>
      <c r="AJ231" s="99" t="e">
        <f t="shared" ca="1" si="151"/>
        <v>#N/A</v>
      </c>
      <c r="AK231" s="161" t="e">
        <f t="shared" ca="1" si="173"/>
        <v>#N/A</v>
      </c>
      <c r="AL231" s="286" t="e">
        <f t="shared" ca="1" si="152"/>
        <v>#N/A</v>
      </c>
      <c r="AM231" s="285">
        <f t="shared" si="153"/>
        <v>3.0940668301999105E-3</v>
      </c>
      <c r="AN231" s="99">
        <f t="shared" si="154"/>
        <v>3.0990000000000002E-3</v>
      </c>
      <c r="AO231" s="99">
        <f t="shared" si="174"/>
        <v>0.97657300000000002</v>
      </c>
      <c r="AP231" s="99" t="e">
        <f t="shared" ca="1" si="155"/>
        <v>#N/A</v>
      </c>
      <c r="AQ231" s="161" t="e">
        <f t="shared" ca="1" si="175"/>
        <v>#N/A</v>
      </c>
      <c r="AR231" s="286" t="e">
        <f t="shared" ca="1" si="156"/>
        <v>#N/A</v>
      </c>
      <c r="AS231" s="285">
        <f t="shared" si="157"/>
        <v>1.2849505119892652E-3</v>
      </c>
      <c r="AT231" s="99">
        <f t="shared" si="158"/>
        <v>1.286E-3</v>
      </c>
      <c r="AU231" s="99">
        <f t="shared" si="176"/>
        <v>0.99126300000000012</v>
      </c>
      <c r="AV231" s="99" t="e">
        <f t="shared" ca="1" si="159"/>
        <v>#N/A</v>
      </c>
      <c r="AW231" s="161" t="e">
        <f t="shared" ca="1" si="177"/>
        <v>#N/A</v>
      </c>
      <c r="AX231" s="286" t="e">
        <f t="shared" ca="1" si="160"/>
        <v>#N/A</v>
      </c>
    </row>
    <row r="232" spans="2:50" x14ac:dyDescent="0.25">
      <c r="B232" s="104">
        <f t="shared" si="164"/>
        <v>32</v>
      </c>
      <c r="C232" s="94">
        <v>33</v>
      </c>
      <c r="D232" s="94">
        <f t="shared" ref="D232:D259" si="180">_xlfn.LOGNORM.DIST(C232, $E$45, $E$47, FALSE)</f>
        <v>6.7807493767746115E-4</v>
      </c>
      <c r="E232" s="94">
        <f t="shared" ref="E232:E259" si="181">ROUND(D232/$D$260,6)</f>
        <v>6.78E-4</v>
      </c>
      <c r="F232" s="94">
        <f t="shared" si="165"/>
        <v>0.99584800000000007</v>
      </c>
      <c r="G232" s="94" t="e">
        <f t="shared" ref="G232:G259" ca="1" si="182">IF(H232&gt;0,H232,(ROUND(E232*$E$193,0)))</f>
        <v>#N/A</v>
      </c>
      <c r="H232" s="94" t="e">
        <f t="shared" ref="H232:H259" ca="1" si="183">LOOKUP(B232,$C$405:$C$601,(OFFSET($C$405:$C$601,0,3)))</f>
        <v>#N/A</v>
      </c>
      <c r="I232" s="161" t="e">
        <f t="shared" ca="1" si="179"/>
        <v>#N/A</v>
      </c>
      <c r="J232" s="156" t="e">
        <f t="shared" ca="1" si="178"/>
        <v>#N/A</v>
      </c>
      <c r="K232" s="160" t="e">
        <f t="shared" ca="1" si="161"/>
        <v>#N/A</v>
      </c>
      <c r="L232" s="101" t="e">
        <f t="shared" ref="L232:L259" ca="1" si="184">IF($E$41=$F$41,AE232,IF($E$41=$G$41,AW232,"n/a"))</f>
        <v>#N/A</v>
      </c>
      <c r="M232" s="101" t="e">
        <f t="shared" ref="M232:M259" ca="1" si="185">IF($E$41=$F$41,Y232,IF($E$41=$G$41,AQ232,"n/a"))</f>
        <v>#N/A</v>
      </c>
      <c r="N232" s="101" t="e">
        <f t="shared" ca="1" si="162"/>
        <v>#N/A</v>
      </c>
      <c r="O232" s="285">
        <f t="shared" ref="O232:O259" si="186">_xlfn.LOGNORM.DIST($C232, O$52, O$53, FALSE)</f>
        <v>6.7807493767746115E-4</v>
      </c>
      <c r="P232" s="99">
        <f t="shared" ref="P232:P259" si="187">ROUND(O232/O$260,6)</f>
        <v>6.78E-4</v>
      </c>
      <c r="Q232" s="99">
        <f t="shared" si="166"/>
        <v>0.99584800000000007</v>
      </c>
      <c r="R232" s="99" t="e">
        <f t="shared" ref="R232:R259" ca="1" si="188">ROUND(P232*$F$193,0)</f>
        <v>#N/A</v>
      </c>
      <c r="S232" s="161" t="e">
        <f t="shared" ca="1" si="167"/>
        <v>#N/A</v>
      </c>
      <c r="T232" s="286" t="e">
        <f t="shared" ref="T232:T259" ca="1" si="189">IF(NOT($J232="n/a"),($J232/Q232),0)</f>
        <v>#N/A</v>
      </c>
      <c r="U232" s="285">
        <f t="shared" ref="U232:U259" si="190">_xlfn.LOGNORM.DIST($C232, U$52, U$53, FALSE)</f>
        <v>1.7713611545843758E-5</v>
      </c>
      <c r="V232" s="99">
        <f t="shared" ref="V232:V259" si="191">IF(ROUND(U232/U$260,6)&lt;0.000001,0.000001,ROUND(U232/U$260,6))</f>
        <v>1.8E-5</v>
      </c>
      <c r="W232" s="99">
        <f t="shared" si="168"/>
        <v>0.99993799999999999</v>
      </c>
      <c r="X232" s="99" t="e">
        <f t="shared" ref="X232:X259" ca="1" si="192">ROUND(V232*$F$194,0)</f>
        <v>#N/A</v>
      </c>
      <c r="Y232" s="161" t="e">
        <f t="shared" ca="1" si="169"/>
        <v>#N/A</v>
      </c>
      <c r="Z232" s="286" t="e">
        <f t="shared" ref="Z232:Z259" ca="1" si="193">IF(NOT($J232="n/a"),($J232/W232),0)</f>
        <v>#N/A</v>
      </c>
      <c r="AA232" s="285">
        <f t="shared" ref="AA232:AA259" si="194">_xlfn.LOGNORM.DIST($C232, AA$52, AA$53, FALSE)</f>
        <v>5.2543699443135632E-3</v>
      </c>
      <c r="AB232" s="99">
        <f t="shared" ref="AB232:AB259" si="195">IF(ROUND(AA232/AA$260,6)&lt;0.000001,0.000001,ROUND(AA232/AA$260,6))</f>
        <v>5.326E-3</v>
      </c>
      <c r="AC232" s="99">
        <f t="shared" si="170"/>
        <v>0.94216999999999995</v>
      </c>
      <c r="AD232" s="99" t="e">
        <f t="shared" ref="AD232:AD259" ca="1" si="196">ROUND(AB232*$F$195,0)</f>
        <v>#N/A</v>
      </c>
      <c r="AE232" s="161" t="e">
        <f t="shared" ca="1" si="171"/>
        <v>#N/A</v>
      </c>
      <c r="AF232" s="286" t="e">
        <f t="shared" ref="AF232:AF259" ca="1" si="197">IF(NOT($J232="n/a"),($J232/AC232),0)</f>
        <v>#N/A</v>
      </c>
      <c r="AG232" s="285">
        <f t="shared" ref="AG232:AG259" si="198">_xlfn.LOGNORM.DIST($C232, AG$52, AG$53, FALSE)</f>
        <v>2.4514978593229062E-3</v>
      </c>
      <c r="AH232" s="99">
        <f t="shared" ref="AH232:AH259" si="199">ROUND(AG232/AG$260,6)</f>
        <v>2.4559999999999998E-3</v>
      </c>
      <c r="AI232" s="99">
        <f t="shared" si="172"/>
        <v>0.98067199999999988</v>
      </c>
      <c r="AJ232" s="99" t="e">
        <f t="shared" ref="AJ232:AJ259" ca="1" si="200">ROUND(AH232*$G$193,0)</f>
        <v>#N/A</v>
      </c>
      <c r="AK232" s="161" t="e">
        <f t="shared" ca="1" si="173"/>
        <v>#N/A</v>
      </c>
      <c r="AL232" s="286" t="e">
        <f t="shared" ref="AL232:AL259" ca="1" si="201">IF(NOT($J232="n/a"),($J232/AI232),0)</f>
        <v>#N/A</v>
      </c>
      <c r="AM232" s="285">
        <f t="shared" ref="AM232:AM259" si="202">_xlfn.LOGNORM.DIST($C232, AM$52, AM$53, FALSE)</f>
        <v>2.7211543750609306E-3</v>
      </c>
      <c r="AN232" s="99">
        <f t="shared" ref="AN232:AN259" si="203">IF(ROUND(AM232/AM$260,6)&lt;0.000001,0.000001,ROUND(AM232/AM$260,6))</f>
        <v>2.725E-3</v>
      </c>
      <c r="AO232" s="99">
        <f t="shared" si="174"/>
        <v>0.979298</v>
      </c>
      <c r="AP232" s="99" t="e">
        <f t="shared" ref="AP232:AP259" ca="1" si="204">ROUND(AN232*$G$195,0)</f>
        <v>#N/A</v>
      </c>
      <c r="AQ232" s="161" t="e">
        <f t="shared" ca="1" si="175"/>
        <v>#N/A</v>
      </c>
      <c r="AR232" s="286" t="e">
        <f t="shared" ref="AR232:AR259" ca="1" si="205">IF(NOT($J232="n/a"),($J232/AO232),0)</f>
        <v>#N/A</v>
      </c>
      <c r="AS232" s="285">
        <f t="shared" ref="AS232:AS259" si="206">_xlfn.LOGNORM.DIST($C232, AS$52, AS$53, FALSE)</f>
        <v>1.1116309784492268E-3</v>
      </c>
      <c r="AT232" s="99">
        <f t="shared" ref="AT232:AT259" si="207">IF(ROUND(AS232/AS$260,6)&lt;0.000001,0.000001,ROUND(AS232/AS$260,6))</f>
        <v>1.1119999999999999E-3</v>
      </c>
      <c r="AU232" s="99">
        <f t="shared" si="176"/>
        <v>0.99237500000000012</v>
      </c>
      <c r="AV232" s="99" t="e">
        <f t="shared" ref="AV232:AV259" ca="1" si="208">ROUND(AT232*$F$194,0)</f>
        <v>#N/A</v>
      </c>
      <c r="AW232" s="161" t="e">
        <f t="shared" ca="1" si="177"/>
        <v>#N/A</v>
      </c>
      <c r="AX232" s="286" t="e">
        <f t="shared" ref="AX232:AX259" ca="1" si="209">IF(NOT($J232="n/a"),($J232/AU232),0)</f>
        <v>#N/A</v>
      </c>
    </row>
    <row r="233" spans="2:50" x14ac:dyDescent="0.25">
      <c r="B233" s="104">
        <f t="shared" si="164"/>
        <v>33</v>
      </c>
      <c r="C233" s="94">
        <v>34</v>
      </c>
      <c r="D233" s="94">
        <f t="shared" si="180"/>
        <v>5.7805033029371478E-4</v>
      </c>
      <c r="E233" s="94">
        <f t="shared" si="181"/>
        <v>5.7799999999999995E-4</v>
      </c>
      <c r="F233" s="94">
        <f t="shared" si="165"/>
        <v>0.99642600000000003</v>
      </c>
      <c r="G233" s="94" t="e">
        <f t="shared" ca="1" si="182"/>
        <v>#N/A</v>
      </c>
      <c r="H233" s="94" t="e">
        <f t="shared" ca="1" si="183"/>
        <v>#N/A</v>
      </c>
      <c r="I233" s="161" t="e">
        <f t="shared" ca="1" si="179"/>
        <v>#N/A</v>
      </c>
      <c r="J233" s="156" t="e">
        <f t="shared" ca="1" si="178"/>
        <v>#N/A</v>
      </c>
      <c r="K233" s="160" t="e">
        <f t="shared" ca="1" si="161"/>
        <v>#N/A</v>
      </c>
      <c r="L233" s="101" t="e">
        <f t="shared" ca="1" si="184"/>
        <v>#N/A</v>
      </c>
      <c r="M233" s="101" t="e">
        <f t="shared" ca="1" si="185"/>
        <v>#N/A</v>
      </c>
      <c r="N233" s="101" t="e">
        <f t="shared" ca="1" si="162"/>
        <v>#N/A</v>
      </c>
      <c r="O233" s="285">
        <f t="shared" si="186"/>
        <v>5.7805033029371478E-4</v>
      </c>
      <c r="P233" s="99">
        <f t="shared" si="187"/>
        <v>5.7799999999999995E-4</v>
      </c>
      <c r="Q233" s="99">
        <f t="shared" si="166"/>
        <v>0.99642600000000003</v>
      </c>
      <c r="R233" s="99" t="e">
        <f t="shared" ca="1" si="188"/>
        <v>#N/A</v>
      </c>
      <c r="S233" s="161" t="e">
        <f t="shared" ca="1" si="167"/>
        <v>#N/A</v>
      </c>
      <c r="T233" s="286" t="e">
        <f t="shared" ca="1" si="189"/>
        <v>#N/A</v>
      </c>
      <c r="U233" s="285">
        <f t="shared" si="190"/>
        <v>1.3642543385587615E-5</v>
      </c>
      <c r="V233" s="99">
        <f t="shared" si="191"/>
        <v>1.4E-5</v>
      </c>
      <c r="W233" s="99">
        <f t="shared" si="168"/>
        <v>0.99995199999999995</v>
      </c>
      <c r="X233" s="99" t="e">
        <f t="shared" ca="1" si="192"/>
        <v>#N/A</v>
      </c>
      <c r="Y233" s="161" t="e">
        <f t="shared" ca="1" si="169"/>
        <v>#N/A</v>
      </c>
      <c r="Z233" s="286" t="e">
        <f t="shared" ca="1" si="193"/>
        <v>#N/A</v>
      </c>
      <c r="AA233" s="285">
        <f t="shared" si="194"/>
        <v>4.8281968639874127E-3</v>
      </c>
      <c r="AB233" s="99">
        <f t="shared" si="195"/>
        <v>4.8939999999999999E-3</v>
      </c>
      <c r="AC233" s="99">
        <f t="shared" si="170"/>
        <v>0.94706399999999991</v>
      </c>
      <c r="AD233" s="99" t="e">
        <f t="shared" ca="1" si="196"/>
        <v>#N/A</v>
      </c>
      <c r="AE233" s="161" t="e">
        <f t="shared" ca="1" si="171"/>
        <v>#N/A</v>
      </c>
      <c r="AF233" s="286" t="e">
        <f t="shared" ca="1" si="197"/>
        <v>#N/A</v>
      </c>
      <c r="AG233" s="285">
        <f t="shared" si="198"/>
        <v>2.1677552468702234E-3</v>
      </c>
      <c r="AH233" s="99">
        <f t="shared" si="199"/>
        <v>2.1710000000000002E-3</v>
      </c>
      <c r="AI233" s="99">
        <f t="shared" si="172"/>
        <v>0.98284299999999991</v>
      </c>
      <c r="AJ233" s="99" t="e">
        <f t="shared" ca="1" si="200"/>
        <v>#N/A</v>
      </c>
      <c r="AK233" s="161" t="e">
        <f t="shared" ca="1" si="173"/>
        <v>#N/A</v>
      </c>
      <c r="AL233" s="286" t="e">
        <f t="shared" ca="1" si="201"/>
        <v>#N/A</v>
      </c>
      <c r="AM233" s="285">
        <f t="shared" si="202"/>
        <v>2.3966956985784667E-3</v>
      </c>
      <c r="AN233" s="99">
        <f t="shared" si="203"/>
        <v>2.3999999999999998E-3</v>
      </c>
      <c r="AO233" s="99">
        <f t="shared" si="174"/>
        <v>0.98169799999999996</v>
      </c>
      <c r="AP233" s="99" t="e">
        <f t="shared" ca="1" si="204"/>
        <v>#N/A</v>
      </c>
      <c r="AQ233" s="161" t="e">
        <f t="shared" ca="1" si="175"/>
        <v>#N/A</v>
      </c>
      <c r="AR233" s="286" t="e">
        <f t="shared" ca="1" si="205"/>
        <v>#N/A</v>
      </c>
      <c r="AS233" s="285">
        <f t="shared" si="206"/>
        <v>9.6370024397258362E-4</v>
      </c>
      <c r="AT233" s="99">
        <f t="shared" si="207"/>
        <v>9.6400000000000001E-4</v>
      </c>
      <c r="AU233" s="99">
        <f t="shared" si="176"/>
        <v>0.99333900000000008</v>
      </c>
      <c r="AV233" s="99" t="e">
        <f t="shared" ca="1" si="208"/>
        <v>#N/A</v>
      </c>
      <c r="AW233" s="161" t="e">
        <f t="shared" ca="1" si="177"/>
        <v>#N/A</v>
      </c>
      <c r="AX233" s="286" t="e">
        <f t="shared" ca="1" si="209"/>
        <v>#N/A</v>
      </c>
    </row>
    <row r="234" spans="2:50" x14ac:dyDescent="0.25">
      <c r="B234" s="104">
        <f t="shared" si="164"/>
        <v>34</v>
      </c>
      <c r="C234" s="94">
        <v>35</v>
      </c>
      <c r="D234" s="94">
        <f t="shared" si="180"/>
        <v>4.9391107854956278E-4</v>
      </c>
      <c r="E234" s="94">
        <f t="shared" si="181"/>
        <v>4.9399999999999997E-4</v>
      </c>
      <c r="F234" s="94">
        <f t="shared" si="165"/>
        <v>0.99692000000000003</v>
      </c>
      <c r="G234" s="94" t="e">
        <f t="shared" ca="1" si="182"/>
        <v>#N/A</v>
      </c>
      <c r="H234" s="94" t="e">
        <f t="shared" ca="1" si="183"/>
        <v>#N/A</v>
      </c>
      <c r="I234" s="161" t="e">
        <f t="shared" ca="1" si="179"/>
        <v>#N/A</v>
      </c>
      <c r="J234" s="156" t="e">
        <f t="shared" ca="1" si="178"/>
        <v>#N/A</v>
      </c>
      <c r="K234" s="160" t="e">
        <f t="shared" ca="1" si="161"/>
        <v>#N/A</v>
      </c>
      <c r="L234" s="101" t="e">
        <f t="shared" ca="1" si="184"/>
        <v>#N/A</v>
      </c>
      <c r="M234" s="101" t="e">
        <f t="shared" ca="1" si="185"/>
        <v>#N/A</v>
      </c>
      <c r="N234" s="101" t="e">
        <f t="shared" ca="1" si="162"/>
        <v>#N/A</v>
      </c>
      <c r="O234" s="285">
        <f t="shared" si="186"/>
        <v>4.9391107854956278E-4</v>
      </c>
      <c r="P234" s="99">
        <f t="shared" si="187"/>
        <v>4.9399999999999997E-4</v>
      </c>
      <c r="Q234" s="99">
        <f t="shared" si="166"/>
        <v>0.99692000000000003</v>
      </c>
      <c r="R234" s="99" t="e">
        <f t="shared" ca="1" si="188"/>
        <v>#N/A</v>
      </c>
      <c r="S234" s="161" t="e">
        <f t="shared" ca="1" si="167"/>
        <v>#N/A</v>
      </c>
      <c r="T234" s="286" t="e">
        <f t="shared" ca="1" si="189"/>
        <v>#N/A</v>
      </c>
      <c r="U234" s="285">
        <f t="shared" si="190"/>
        <v>1.0550132093134681E-5</v>
      </c>
      <c r="V234" s="99">
        <f t="shared" si="191"/>
        <v>1.1E-5</v>
      </c>
      <c r="W234" s="99">
        <f t="shared" si="168"/>
        <v>0.99996299999999994</v>
      </c>
      <c r="X234" s="99" t="e">
        <f t="shared" ca="1" si="192"/>
        <v>#N/A</v>
      </c>
      <c r="Y234" s="161" t="e">
        <f t="shared" ca="1" si="169"/>
        <v>#N/A</v>
      </c>
      <c r="Z234" s="286" t="e">
        <f t="shared" ca="1" si="193"/>
        <v>#N/A</v>
      </c>
      <c r="AA234" s="285">
        <f t="shared" si="194"/>
        <v>4.4415895189704024E-3</v>
      </c>
      <c r="AB234" s="99">
        <f t="shared" si="195"/>
        <v>4.5019999999999999E-3</v>
      </c>
      <c r="AC234" s="99">
        <f t="shared" si="170"/>
        <v>0.95156599999999991</v>
      </c>
      <c r="AD234" s="99" t="e">
        <f t="shared" ca="1" si="196"/>
        <v>#N/A</v>
      </c>
      <c r="AE234" s="161" t="e">
        <f t="shared" ca="1" si="171"/>
        <v>#N/A</v>
      </c>
      <c r="AF234" s="286" t="e">
        <f t="shared" ca="1" si="197"/>
        <v>#N/A</v>
      </c>
      <c r="AG234" s="285">
        <f t="shared" si="198"/>
        <v>1.9198459348662605E-3</v>
      </c>
      <c r="AH234" s="99">
        <f t="shared" si="199"/>
        <v>1.923E-3</v>
      </c>
      <c r="AI234" s="99">
        <f t="shared" si="172"/>
        <v>0.98476599999999992</v>
      </c>
      <c r="AJ234" s="99" t="e">
        <f t="shared" ca="1" si="200"/>
        <v>#N/A</v>
      </c>
      <c r="AK234" s="161" t="e">
        <f t="shared" ca="1" si="173"/>
        <v>#N/A</v>
      </c>
      <c r="AL234" s="286" t="e">
        <f t="shared" ca="1" si="201"/>
        <v>#N/A</v>
      </c>
      <c r="AM234" s="285">
        <f t="shared" si="202"/>
        <v>2.1139823004712763E-3</v>
      </c>
      <c r="AN234" s="99">
        <f t="shared" si="203"/>
        <v>2.117E-3</v>
      </c>
      <c r="AO234" s="99">
        <f t="shared" si="174"/>
        <v>0.983815</v>
      </c>
      <c r="AP234" s="99" t="e">
        <f t="shared" ca="1" si="204"/>
        <v>#N/A</v>
      </c>
      <c r="AQ234" s="161" t="e">
        <f t="shared" ca="1" si="175"/>
        <v>#N/A</v>
      </c>
      <c r="AR234" s="286" t="e">
        <f t="shared" ca="1" si="205"/>
        <v>#N/A</v>
      </c>
      <c r="AS234" s="285">
        <f t="shared" si="206"/>
        <v>8.3715437020774901E-4</v>
      </c>
      <c r="AT234" s="99">
        <f t="shared" si="207"/>
        <v>8.3799999999999999E-4</v>
      </c>
      <c r="AU234" s="99">
        <f t="shared" si="176"/>
        <v>0.99417700000000009</v>
      </c>
      <c r="AV234" s="99" t="e">
        <f t="shared" ca="1" si="208"/>
        <v>#N/A</v>
      </c>
      <c r="AW234" s="161" t="e">
        <f t="shared" ca="1" si="177"/>
        <v>#N/A</v>
      </c>
      <c r="AX234" s="286" t="e">
        <f t="shared" ca="1" si="209"/>
        <v>#N/A</v>
      </c>
    </row>
    <row r="235" spans="2:50" x14ac:dyDescent="0.25">
      <c r="B235" s="104">
        <f t="shared" si="164"/>
        <v>35</v>
      </c>
      <c r="C235" s="94">
        <v>36</v>
      </c>
      <c r="D235" s="94">
        <f t="shared" si="180"/>
        <v>4.2295983677622669E-4</v>
      </c>
      <c r="E235" s="94">
        <f t="shared" si="181"/>
        <v>4.2299999999999998E-4</v>
      </c>
      <c r="F235" s="94">
        <f t="shared" si="165"/>
        <v>0.99734299999999998</v>
      </c>
      <c r="G235" s="94" t="e">
        <f t="shared" ca="1" si="182"/>
        <v>#N/A</v>
      </c>
      <c r="H235" s="94" t="e">
        <f t="shared" ca="1" si="183"/>
        <v>#N/A</v>
      </c>
      <c r="I235" s="161" t="e">
        <f t="shared" ca="1" si="179"/>
        <v>#N/A</v>
      </c>
      <c r="J235" s="156" t="e">
        <f t="shared" ca="1" si="178"/>
        <v>#N/A</v>
      </c>
      <c r="K235" s="160" t="e">
        <f t="shared" ca="1" si="161"/>
        <v>#N/A</v>
      </c>
      <c r="L235" s="101" t="e">
        <f t="shared" ca="1" si="184"/>
        <v>#N/A</v>
      </c>
      <c r="M235" s="101" t="e">
        <f t="shared" ca="1" si="185"/>
        <v>#N/A</v>
      </c>
      <c r="N235" s="101" t="e">
        <f t="shared" ca="1" si="162"/>
        <v>#N/A</v>
      </c>
      <c r="O235" s="285">
        <f t="shared" si="186"/>
        <v>4.2295983677622669E-4</v>
      </c>
      <c r="P235" s="99">
        <f t="shared" si="187"/>
        <v>4.2299999999999998E-4</v>
      </c>
      <c r="Q235" s="99">
        <f t="shared" si="166"/>
        <v>0.99734299999999998</v>
      </c>
      <c r="R235" s="99" t="e">
        <f t="shared" ca="1" si="188"/>
        <v>#N/A</v>
      </c>
      <c r="S235" s="161" t="e">
        <f t="shared" ca="1" si="167"/>
        <v>#N/A</v>
      </c>
      <c r="T235" s="286" t="e">
        <f t="shared" ca="1" si="189"/>
        <v>#N/A</v>
      </c>
      <c r="U235" s="285">
        <f t="shared" si="190"/>
        <v>8.1909982879852588E-6</v>
      </c>
      <c r="V235" s="99">
        <f t="shared" si="191"/>
        <v>7.9999999999999996E-6</v>
      </c>
      <c r="W235" s="99">
        <f t="shared" si="168"/>
        <v>0.99997099999999994</v>
      </c>
      <c r="X235" s="99" t="e">
        <f t="shared" ca="1" si="192"/>
        <v>#N/A</v>
      </c>
      <c r="Y235" s="161" t="e">
        <f t="shared" ca="1" si="169"/>
        <v>#N/A</v>
      </c>
      <c r="Z235" s="286" t="e">
        <f t="shared" ca="1" si="193"/>
        <v>#N/A</v>
      </c>
      <c r="AA235" s="285">
        <f t="shared" si="194"/>
        <v>4.090434380257405E-3</v>
      </c>
      <c r="AB235" s="99">
        <f t="shared" si="195"/>
        <v>4.1460000000000004E-3</v>
      </c>
      <c r="AC235" s="99">
        <f t="shared" si="170"/>
        <v>0.95571199999999989</v>
      </c>
      <c r="AD235" s="99" t="e">
        <f t="shared" ca="1" si="196"/>
        <v>#N/A</v>
      </c>
      <c r="AE235" s="161" t="e">
        <f t="shared" ca="1" si="171"/>
        <v>#N/A</v>
      </c>
      <c r="AF235" s="286" t="e">
        <f t="shared" ca="1" si="197"/>
        <v>#N/A</v>
      </c>
      <c r="AG235" s="285">
        <f t="shared" si="198"/>
        <v>1.7028874546893668E-3</v>
      </c>
      <c r="AH235" s="99">
        <f t="shared" si="199"/>
        <v>1.7060000000000001E-3</v>
      </c>
      <c r="AI235" s="99">
        <f t="shared" si="172"/>
        <v>0.9864719999999999</v>
      </c>
      <c r="AJ235" s="99" t="e">
        <f t="shared" ca="1" si="200"/>
        <v>#N/A</v>
      </c>
      <c r="AK235" s="161" t="e">
        <f t="shared" ca="1" si="173"/>
        <v>#N/A</v>
      </c>
      <c r="AL235" s="286" t="e">
        <f t="shared" ca="1" si="201"/>
        <v>#N/A</v>
      </c>
      <c r="AM235" s="285">
        <f t="shared" si="202"/>
        <v>1.8672825590450083E-3</v>
      </c>
      <c r="AN235" s="99">
        <f t="shared" si="203"/>
        <v>1.8699999999999999E-3</v>
      </c>
      <c r="AO235" s="99">
        <f t="shared" si="174"/>
        <v>0.98568500000000003</v>
      </c>
      <c r="AP235" s="99" t="e">
        <f t="shared" ca="1" si="204"/>
        <v>#N/A</v>
      </c>
      <c r="AQ235" s="161" t="e">
        <f t="shared" ca="1" si="175"/>
        <v>#N/A</v>
      </c>
      <c r="AR235" s="286" t="e">
        <f t="shared" ca="1" si="205"/>
        <v>#N/A</v>
      </c>
      <c r="AS235" s="285">
        <f t="shared" si="206"/>
        <v>7.2866364282193018E-4</v>
      </c>
      <c r="AT235" s="99">
        <f t="shared" si="207"/>
        <v>7.2900000000000005E-4</v>
      </c>
      <c r="AU235" s="99">
        <f t="shared" si="176"/>
        <v>0.99490600000000007</v>
      </c>
      <c r="AV235" s="99" t="e">
        <f t="shared" ca="1" si="208"/>
        <v>#N/A</v>
      </c>
      <c r="AW235" s="161" t="e">
        <f t="shared" ca="1" si="177"/>
        <v>#N/A</v>
      </c>
      <c r="AX235" s="286" t="e">
        <f t="shared" ca="1" si="209"/>
        <v>#N/A</v>
      </c>
    </row>
    <row r="236" spans="2:50" x14ac:dyDescent="0.25">
      <c r="B236" s="104">
        <f t="shared" si="164"/>
        <v>36</v>
      </c>
      <c r="C236" s="94">
        <v>37</v>
      </c>
      <c r="D236" s="94">
        <f t="shared" si="180"/>
        <v>3.6298577568375672E-4</v>
      </c>
      <c r="E236" s="94">
        <f t="shared" si="181"/>
        <v>3.6299999999999999E-4</v>
      </c>
      <c r="F236" s="94">
        <f t="shared" si="165"/>
        <v>0.99770599999999998</v>
      </c>
      <c r="G236" s="94" t="e">
        <f t="shared" ca="1" si="182"/>
        <v>#N/A</v>
      </c>
      <c r="H236" s="94" t="e">
        <f t="shared" ca="1" si="183"/>
        <v>#N/A</v>
      </c>
      <c r="I236" s="161" t="e">
        <f t="shared" ca="1" si="179"/>
        <v>#N/A</v>
      </c>
      <c r="J236" s="156" t="e">
        <f t="shared" ca="1" si="178"/>
        <v>#N/A</v>
      </c>
      <c r="K236" s="160" t="e">
        <f t="shared" ca="1" si="161"/>
        <v>#N/A</v>
      </c>
      <c r="L236" s="101" t="e">
        <f t="shared" ca="1" si="184"/>
        <v>#N/A</v>
      </c>
      <c r="M236" s="101" t="e">
        <f t="shared" ca="1" si="185"/>
        <v>#N/A</v>
      </c>
      <c r="N236" s="101" t="e">
        <f t="shared" ca="1" si="162"/>
        <v>#N/A</v>
      </c>
      <c r="O236" s="285">
        <f t="shared" si="186"/>
        <v>3.6298577568375672E-4</v>
      </c>
      <c r="P236" s="99">
        <f t="shared" si="187"/>
        <v>3.6299999999999999E-4</v>
      </c>
      <c r="Q236" s="99">
        <f t="shared" si="166"/>
        <v>0.99770599999999998</v>
      </c>
      <c r="R236" s="99" t="e">
        <f t="shared" ca="1" si="188"/>
        <v>#N/A</v>
      </c>
      <c r="S236" s="161" t="e">
        <f t="shared" ca="1" si="167"/>
        <v>#N/A</v>
      </c>
      <c r="T236" s="286" t="e">
        <f t="shared" ca="1" si="189"/>
        <v>#N/A</v>
      </c>
      <c r="U236" s="285">
        <f t="shared" si="190"/>
        <v>6.3837622729134405E-6</v>
      </c>
      <c r="V236" s="99">
        <f t="shared" si="191"/>
        <v>6.0000000000000002E-6</v>
      </c>
      <c r="W236" s="99">
        <f t="shared" si="168"/>
        <v>0.99997699999999989</v>
      </c>
      <c r="X236" s="99" t="e">
        <f t="shared" ca="1" si="192"/>
        <v>#N/A</v>
      </c>
      <c r="Y236" s="161" t="e">
        <f t="shared" ca="1" si="169"/>
        <v>#N/A</v>
      </c>
      <c r="Z236" s="286" t="e">
        <f t="shared" ca="1" si="193"/>
        <v>#N/A</v>
      </c>
      <c r="AA236" s="285">
        <f t="shared" si="194"/>
        <v>3.7710867249563132E-3</v>
      </c>
      <c r="AB236" s="99">
        <f t="shared" si="195"/>
        <v>3.823E-3</v>
      </c>
      <c r="AC236" s="99">
        <f t="shared" si="170"/>
        <v>0.95953499999999992</v>
      </c>
      <c r="AD236" s="99" t="e">
        <f t="shared" ca="1" si="196"/>
        <v>#N/A</v>
      </c>
      <c r="AE236" s="161" t="e">
        <f t="shared" ca="1" si="171"/>
        <v>#N/A</v>
      </c>
      <c r="AF236" s="286" t="e">
        <f t="shared" ca="1" si="197"/>
        <v>#N/A</v>
      </c>
      <c r="AG236" s="285">
        <f t="shared" si="198"/>
        <v>1.5127070079854355E-3</v>
      </c>
      <c r="AH236" s="99">
        <f t="shared" si="199"/>
        <v>1.5150000000000001E-3</v>
      </c>
      <c r="AI236" s="99">
        <f t="shared" si="172"/>
        <v>0.98798699999999995</v>
      </c>
      <c r="AJ236" s="99" t="e">
        <f t="shared" ca="1" si="200"/>
        <v>#N/A</v>
      </c>
      <c r="AK236" s="161" t="e">
        <f t="shared" ca="1" si="173"/>
        <v>#N/A</v>
      </c>
      <c r="AL236" s="286" t="e">
        <f t="shared" ca="1" si="201"/>
        <v>#N/A</v>
      </c>
      <c r="AM236" s="285">
        <f t="shared" si="202"/>
        <v>1.6516945249004115E-3</v>
      </c>
      <c r="AN236" s="99">
        <f t="shared" si="203"/>
        <v>1.6540000000000001E-3</v>
      </c>
      <c r="AO236" s="99">
        <f t="shared" si="174"/>
        <v>0.98733900000000008</v>
      </c>
      <c r="AP236" s="99" t="e">
        <f t="shared" ca="1" si="204"/>
        <v>#N/A</v>
      </c>
      <c r="AQ236" s="161" t="e">
        <f t="shared" ca="1" si="175"/>
        <v>#N/A</v>
      </c>
      <c r="AR236" s="286" t="e">
        <f t="shared" ca="1" si="205"/>
        <v>#N/A</v>
      </c>
      <c r="AS236" s="285">
        <f t="shared" si="206"/>
        <v>6.3545231466214649E-4</v>
      </c>
      <c r="AT236" s="99">
        <f t="shared" si="207"/>
        <v>6.3599999999999996E-4</v>
      </c>
      <c r="AU236" s="99">
        <f t="shared" si="176"/>
        <v>0.99554200000000004</v>
      </c>
      <c r="AV236" s="99" t="e">
        <f t="shared" ca="1" si="208"/>
        <v>#N/A</v>
      </c>
      <c r="AW236" s="161" t="e">
        <f t="shared" ca="1" si="177"/>
        <v>#N/A</v>
      </c>
      <c r="AX236" s="286" t="e">
        <f t="shared" ca="1" si="209"/>
        <v>#N/A</v>
      </c>
    </row>
    <row r="237" spans="2:50" x14ac:dyDescent="0.25">
      <c r="B237" s="104">
        <f t="shared" si="164"/>
        <v>37</v>
      </c>
      <c r="C237" s="94">
        <v>38</v>
      </c>
      <c r="D237" s="94">
        <f t="shared" si="180"/>
        <v>3.1217194752108175E-4</v>
      </c>
      <c r="E237" s="94">
        <f t="shared" si="181"/>
        <v>3.1199999999999999E-4</v>
      </c>
      <c r="F237" s="94">
        <f t="shared" si="165"/>
        <v>0.99801799999999996</v>
      </c>
      <c r="G237" s="94" t="e">
        <f t="shared" ca="1" si="182"/>
        <v>#N/A</v>
      </c>
      <c r="H237" s="94" t="e">
        <f t="shared" ca="1" si="183"/>
        <v>#N/A</v>
      </c>
      <c r="I237" s="161" t="e">
        <f t="shared" ca="1" si="179"/>
        <v>#N/A</v>
      </c>
      <c r="J237" s="156" t="e">
        <f t="shared" ca="1" si="178"/>
        <v>#N/A</v>
      </c>
      <c r="K237" s="160" t="e">
        <f t="shared" ca="1" si="161"/>
        <v>#N/A</v>
      </c>
      <c r="L237" s="101" t="e">
        <f t="shared" ca="1" si="184"/>
        <v>#N/A</v>
      </c>
      <c r="M237" s="101" t="e">
        <f t="shared" ca="1" si="185"/>
        <v>#N/A</v>
      </c>
      <c r="N237" s="101" t="e">
        <f t="shared" ca="1" si="162"/>
        <v>#N/A</v>
      </c>
      <c r="O237" s="285">
        <f t="shared" si="186"/>
        <v>3.1217194752108175E-4</v>
      </c>
      <c r="P237" s="99">
        <f t="shared" si="187"/>
        <v>3.1199999999999999E-4</v>
      </c>
      <c r="Q237" s="99">
        <f t="shared" si="166"/>
        <v>0.99801799999999996</v>
      </c>
      <c r="R237" s="99" t="e">
        <f t="shared" ca="1" si="188"/>
        <v>#N/A</v>
      </c>
      <c r="S237" s="161" t="e">
        <f t="shared" ca="1" si="167"/>
        <v>#N/A</v>
      </c>
      <c r="T237" s="286" t="e">
        <f t="shared" ca="1" si="189"/>
        <v>#N/A</v>
      </c>
      <c r="U237" s="285">
        <f t="shared" si="190"/>
        <v>4.9937231582250868E-6</v>
      </c>
      <c r="V237" s="99">
        <f t="shared" si="191"/>
        <v>5.0000000000000004E-6</v>
      </c>
      <c r="W237" s="99">
        <f t="shared" si="168"/>
        <v>0.99998199999999993</v>
      </c>
      <c r="X237" s="99" t="e">
        <f t="shared" ca="1" si="192"/>
        <v>#N/A</v>
      </c>
      <c r="Y237" s="161" t="e">
        <f t="shared" ca="1" si="169"/>
        <v>#N/A</v>
      </c>
      <c r="Z237" s="286" t="e">
        <f t="shared" ca="1" si="193"/>
        <v>#N/A</v>
      </c>
      <c r="AA237" s="285">
        <f t="shared" si="194"/>
        <v>3.4803134085516318E-3</v>
      </c>
      <c r="AB237" s="99">
        <f t="shared" si="195"/>
        <v>3.5279999999999999E-3</v>
      </c>
      <c r="AC237" s="99">
        <f t="shared" si="170"/>
        <v>0.96306299999999989</v>
      </c>
      <c r="AD237" s="99" t="e">
        <f t="shared" ca="1" si="196"/>
        <v>#N/A</v>
      </c>
      <c r="AE237" s="161" t="e">
        <f t="shared" ca="1" si="171"/>
        <v>#N/A</v>
      </c>
      <c r="AF237" s="286" t="e">
        <f t="shared" ca="1" si="197"/>
        <v>#N/A</v>
      </c>
      <c r="AG237" s="285">
        <f t="shared" si="198"/>
        <v>1.3457327698372559E-3</v>
      </c>
      <c r="AH237" s="99">
        <f t="shared" si="199"/>
        <v>1.348E-3</v>
      </c>
      <c r="AI237" s="99">
        <f t="shared" si="172"/>
        <v>0.98933499999999996</v>
      </c>
      <c r="AJ237" s="99" t="e">
        <f t="shared" ca="1" si="200"/>
        <v>#N/A</v>
      </c>
      <c r="AK237" s="161" t="e">
        <f t="shared" ca="1" si="173"/>
        <v>#N/A</v>
      </c>
      <c r="AL237" s="286" t="e">
        <f t="shared" ca="1" si="201"/>
        <v>#N/A</v>
      </c>
      <c r="AM237" s="285">
        <f t="shared" si="202"/>
        <v>1.4630211362433644E-3</v>
      </c>
      <c r="AN237" s="99">
        <f t="shared" si="203"/>
        <v>1.4649999999999999E-3</v>
      </c>
      <c r="AO237" s="99">
        <f t="shared" si="174"/>
        <v>0.98880400000000013</v>
      </c>
      <c r="AP237" s="99" t="e">
        <f t="shared" ca="1" si="204"/>
        <v>#N/A</v>
      </c>
      <c r="AQ237" s="161" t="e">
        <f t="shared" ca="1" si="175"/>
        <v>#N/A</v>
      </c>
      <c r="AR237" s="286" t="e">
        <f t="shared" ca="1" si="205"/>
        <v>#N/A</v>
      </c>
      <c r="AS237" s="285">
        <f t="shared" si="206"/>
        <v>5.5520088464071154E-4</v>
      </c>
      <c r="AT237" s="99">
        <f t="shared" si="207"/>
        <v>5.5500000000000005E-4</v>
      </c>
      <c r="AU237" s="99">
        <f t="shared" si="176"/>
        <v>0.99609700000000001</v>
      </c>
      <c r="AV237" s="99" t="e">
        <f t="shared" ca="1" si="208"/>
        <v>#N/A</v>
      </c>
      <c r="AW237" s="161" t="e">
        <f t="shared" ca="1" si="177"/>
        <v>#N/A</v>
      </c>
      <c r="AX237" s="286" t="e">
        <f t="shared" ca="1" si="209"/>
        <v>#N/A</v>
      </c>
    </row>
    <row r="238" spans="2:50" x14ac:dyDescent="0.25">
      <c r="B238" s="104">
        <f t="shared" si="164"/>
        <v>38</v>
      </c>
      <c r="C238" s="94">
        <v>39</v>
      </c>
      <c r="D238" s="94">
        <f t="shared" si="180"/>
        <v>2.6902115721868207E-4</v>
      </c>
      <c r="E238" s="94">
        <f t="shared" si="181"/>
        <v>2.6899999999999998E-4</v>
      </c>
      <c r="F238" s="94">
        <f t="shared" si="165"/>
        <v>0.99828699999999992</v>
      </c>
      <c r="G238" s="94" t="e">
        <f t="shared" ca="1" si="182"/>
        <v>#N/A</v>
      </c>
      <c r="H238" s="94" t="e">
        <f t="shared" ca="1" si="183"/>
        <v>#N/A</v>
      </c>
      <c r="I238" s="161" t="e">
        <f t="shared" ca="1" si="179"/>
        <v>#N/A</v>
      </c>
      <c r="J238" s="156" t="e">
        <f t="shared" ca="1" si="178"/>
        <v>#N/A</v>
      </c>
      <c r="K238" s="160" t="e">
        <f t="shared" ca="1" si="161"/>
        <v>#N/A</v>
      </c>
      <c r="L238" s="101" t="e">
        <f t="shared" ca="1" si="184"/>
        <v>#N/A</v>
      </c>
      <c r="M238" s="101" t="e">
        <f t="shared" ca="1" si="185"/>
        <v>#N/A</v>
      </c>
      <c r="N238" s="101" t="e">
        <f t="shared" ca="1" si="162"/>
        <v>#N/A</v>
      </c>
      <c r="O238" s="285">
        <f t="shared" si="186"/>
        <v>2.6902115721868207E-4</v>
      </c>
      <c r="P238" s="99">
        <f t="shared" si="187"/>
        <v>2.6899999999999998E-4</v>
      </c>
      <c r="Q238" s="99">
        <f t="shared" si="166"/>
        <v>0.99828699999999992</v>
      </c>
      <c r="R238" s="99" t="e">
        <f t="shared" ca="1" si="188"/>
        <v>#N/A</v>
      </c>
      <c r="S238" s="161" t="e">
        <f t="shared" ca="1" si="167"/>
        <v>#N/A</v>
      </c>
      <c r="T238" s="286" t="e">
        <f t="shared" ca="1" si="189"/>
        <v>#N/A</v>
      </c>
      <c r="U238" s="285">
        <f t="shared" si="190"/>
        <v>3.920390866871338E-6</v>
      </c>
      <c r="V238" s="99">
        <f t="shared" si="191"/>
        <v>3.9999999999999998E-6</v>
      </c>
      <c r="W238" s="99">
        <f t="shared" si="168"/>
        <v>0.99998599999999993</v>
      </c>
      <c r="X238" s="99" t="e">
        <f t="shared" ca="1" si="192"/>
        <v>#N/A</v>
      </c>
      <c r="Y238" s="161" t="e">
        <f t="shared" ca="1" si="169"/>
        <v>#N/A</v>
      </c>
      <c r="Z238" s="286" t="e">
        <f t="shared" ca="1" si="193"/>
        <v>#N/A</v>
      </c>
      <c r="AA238" s="285">
        <f t="shared" si="194"/>
        <v>3.2152429017394328E-3</v>
      </c>
      <c r="AB238" s="99">
        <f t="shared" si="195"/>
        <v>3.2590000000000002E-3</v>
      </c>
      <c r="AC238" s="99">
        <f t="shared" si="170"/>
        <v>0.9663219999999999</v>
      </c>
      <c r="AD238" s="99" t="e">
        <f t="shared" ca="1" si="196"/>
        <v>#N/A</v>
      </c>
      <c r="AE238" s="161" t="e">
        <f t="shared" ca="1" si="171"/>
        <v>#N/A</v>
      </c>
      <c r="AF238" s="286" t="e">
        <f t="shared" ca="1" si="197"/>
        <v>#N/A</v>
      </c>
      <c r="AG238" s="285">
        <f t="shared" si="198"/>
        <v>1.1989024809949645E-3</v>
      </c>
      <c r="AH238" s="99">
        <f t="shared" si="199"/>
        <v>1.201E-3</v>
      </c>
      <c r="AI238" s="99">
        <f t="shared" si="172"/>
        <v>0.99053599999999997</v>
      </c>
      <c r="AJ238" s="99" t="e">
        <f t="shared" ca="1" si="200"/>
        <v>#N/A</v>
      </c>
      <c r="AK238" s="161" t="e">
        <f t="shared" ca="1" si="173"/>
        <v>#N/A</v>
      </c>
      <c r="AL238" s="286" t="e">
        <f t="shared" ca="1" si="201"/>
        <v>#N/A</v>
      </c>
      <c r="AM238" s="285">
        <f t="shared" si="202"/>
        <v>1.2976645461378743E-3</v>
      </c>
      <c r="AN238" s="99">
        <f t="shared" si="203"/>
        <v>1.2999999999999999E-3</v>
      </c>
      <c r="AO238" s="99">
        <f t="shared" si="174"/>
        <v>0.9901040000000001</v>
      </c>
      <c r="AP238" s="99" t="e">
        <f t="shared" ca="1" si="204"/>
        <v>#N/A</v>
      </c>
      <c r="AQ238" s="161" t="e">
        <f t="shared" ca="1" si="175"/>
        <v>#N/A</v>
      </c>
      <c r="AR238" s="286" t="e">
        <f t="shared" ca="1" si="205"/>
        <v>#N/A</v>
      </c>
      <c r="AS238" s="285">
        <f t="shared" si="206"/>
        <v>4.8596651401152811E-4</v>
      </c>
      <c r="AT238" s="99">
        <f t="shared" si="207"/>
        <v>4.86E-4</v>
      </c>
      <c r="AU238" s="99">
        <f t="shared" si="176"/>
        <v>0.996583</v>
      </c>
      <c r="AV238" s="99" t="e">
        <f t="shared" ca="1" si="208"/>
        <v>#N/A</v>
      </c>
      <c r="AW238" s="161" t="e">
        <f t="shared" ca="1" si="177"/>
        <v>#N/A</v>
      </c>
      <c r="AX238" s="286" t="e">
        <f t="shared" ca="1" si="209"/>
        <v>#N/A</v>
      </c>
    </row>
    <row r="239" spans="2:50" x14ac:dyDescent="0.25">
      <c r="B239" s="104">
        <f t="shared" si="164"/>
        <v>39</v>
      </c>
      <c r="C239" s="94">
        <v>40</v>
      </c>
      <c r="D239" s="94">
        <f t="shared" si="180"/>
        <v>2.3229648465483449E-4</v>
      </c>
      <c r="E239" s="94">
        <f t="shared" si="181"/>
        <v>2.32E-4</v>
      </c>
      <c r="F239" s="94">
        <f t="shared" si="165"/>
        <v>0.99851899999999993</v>
      </c>
      <c r="G239" s="94" t="e">
        <f t="shared" ca="1" si="182"/>
        <v>#N/A</v>
      </c>
      <c r="H239" s="94" t="e">
        <f t="shared" ca="1" si="183"/>
        <v>#N/A</v>
      </c>
      <c r="I239" s="161" t="e">
        <f t="shared" ca="1" si="179"/>
        <v>#N/A</v>
      </c>
      <c r="J239" s="156" t="e">
        <f t="shared" ca="1" si="178"/>
        <v>#N/A</v>
      </c>
      <c r="K239" s="160" t="e">
        <f t="shared" ca="1" si="161"/>
        <v>#N/A</v>
      </c>
      <c r="L239" s="101" t="e">
        <f t="shared" ca="1" si="184"/>
        <v>#N/A</v>
      </c>
      <c r="M239" s="101" t="e">
        <f t="shared" ca="1" si="185"/>
        <v>#N/A</v>
      </c>
      <c r="N239" s="101" t="e">
        <f t="shared" ca="1" si="162"/>
        <v>#N/A</v>
      </c>
      <c r="O239" s="285">
        <f t="shared" si="186"/>
        <v>2.3229648465483449E-4</v>
      </c>
      <c r="P239" s="99">
        <f t="shared" si="187"/>
        <v>2.32E-4</v>
      </c>
      <c r="Q239" s="99">
        <f t="shared" si="166"/>
        <v>0.99851899999999993</v>
      </c>
      <c r="R239" s="99" t="e">
        <f t="shared" ca="1" si="188"/>
        <v>#N/A</v>
      </c>
      <c r="S239" s="161" t="e">
        <f t="shared" ca="1" si="167"/>
        <v>#N/A</v>
      </c>
      <c r="T239" s="286" t="e">
        <f t="shared" ca="1" si="189"/>
        <v>#N/A</v>
      </c>
      <c r="U239" s="285">
        <f t="shared" si="190"/>
        <v>3.0884665582506449E-6</v>
      </c>
      <c r="V239" s="99">
        <f t="shared" si="191"/>
        <v>3.0000000000000001E-6</v>
      </c>
      <c r="W239" s="99">
        <f t="shared" si="168"/>
        <v>0.99998899999999991</v>
      </c>
      <c r="X239" s="99" t="e">
        <f t="shared" ca="1" si="192"/>
        <v>#N/A</v>
      </c>
      <c r="Y239" s="161" t="e">
        <f t="shared" ca="1" si="169"/>
        <v>#N/A</v>
      </c>
      <c r="Z239" s="286" t="e">
        <f t="shared" ca="1" si="193"/>
        <v>#N/A</v>
      </c>
      <c r="AA239" s="285">
        <f t="shared" si="194"/>
        <v>2.9733216781718469E-3</v>
      </c>
      <c r="AB239" s="99">
        <f t="shared" si="195"/>
        <v>3.0140000000000002E-3</v>
      </c>
      <c r="AC239" s="99">
        <f t="shared" si="170"/>
        <v>0.96933599999999986</v>
      </c>
      <c r="AD239" s="99" t="e">
        <f t="shared" ca="1" si="196"/>
        <v>#N/A</v>
      </c>
      <c r="AE239" s="161" t="e">
        <f t="shared" ca="1" si="171"/>
        <v>#N/A</v>
      </c>
      <c r="AF239" s="286" t="e">
        <f t="shared" ca="1" si="197"/>
        <v>#N/A</v>
      </c>
      <c r="AG239" s="285">
        <f t="shared" si="198"/>
        <v>1.0695865300934875E-3</v>
      </c>
      <c r="AH239" s="99">
        <f t="shared" si="199"/>
        <v>1.0709999999999999E-3</v>
      </c>
      <c r="AI239" s="99">
        <f t="shared" si="172"/>
        <v>0.99160700000000002</v>
      </c>
      <c r="AJ239" s="99" t="e">
        <f t="shared" ca="1" si="200"/>
        <v>#N/A</v>
      </c>
      <c r="AK239" s="161" t="e">
        <f t="shared" ca="1" si="173"/>
        <v>#N/A</v>
      </c>
      <c r="AL239" s="286" t="e">
        <f t="shared" ca="1" si="201"/>
        <v>#N/A</v>
      </c>
      <c r="AM239" s="285">
        <f t="shared" si="202"/>
        <v>1.1525366789865647E-3</v>
      </c>
      <c r="AN239" s="99">
        <f t="shared" si="203"/>
        <v>1.1540000000000001E-3</v>
      </c>
      <c r="AO239" s="99">
        <f t="shared" si="174"/>
        <v>0.99125800000000008</v>
      </c>
      <c r="AP239" s="99" t="e">
        <f t="shared" ca="1" si="204"/>
        <v>#N/A</v>
      </c>
      <c r="AQ239" s="161" t="e">
        <f t="shared" ca="1" si="175"/>
        <v>#N/A</v>
      </c>
      <c r="AR239" s="286" t="e">
        <f t="shared" ca="1" si="205"/>
        <v>#N/A</v>
      </c>
      <c r="AS239" s="285">
        <f t="shared" si="206"/>
        <v>4.2611806665553316E-4</v>
      </c>
      <c r="AT239" s="99">
        <f t="shared" si="207"/>
        <v>4.26E-4</v>
      </c>
      <c r="AU239" s="99">
        <f t="shared" si="176"/>
        <v>0.99700900000000003</v>
      </c>
      <c r="AV239" s="99" t="e">
        <f t="shared" ca="1" si="208"/>
        <v>#N/A</v>
      </c>
      <c r="AW239" s="161" t="e">
        <f t="shared" ca="1" si="177"/>
        <v>#N/A</v>
      </c>
      <c r="AX239" s="286" t="e">
        <f t="shared" ca="1" si="209"/>
        <v>#N/A</v>
      </c>
    </row>
    <row r="240" spans="2:50" x14ac:dyDescent="0.25">
      <c r="B240" s="104">
        <f t="shared" si="164"/>
        <v>40</v>
      </c>
      <c r="C240" s="94">
        <v>41</v>
      </c>
      <c r="D240" s="94">
        <f t="shared" si="180"/>
        <v>2.0097343489636695E-4</v>
      </c>
      <c r="E240" s="94">
        <f t="shared" si="181"/>
        <v>2.0100000000000001E-4</v>
      </c>
      <c r="F240" s="94">
        <f t="shared" si="165"/>
        <v>0.99871999999999994</v>
      </c>
      <c r="G240" s="94" t="e">
        <f t="shared" ca="1" si="182"/>
        <v>#N/A</v>
      </c>
      <c r="H240" s="94" t="e">
        <f t="shared" ca="1" si="183"/>
        <v>#N/A</v>
      </c>
      <c r="I240" s="161" t="e">
        <f t="shared" ca="1" si="179"/>
        <v>#N/A</v>
      </c>
      <c r="J240" s="156" t="e">
        <f t="shared" ca="1" si="178"/>
        <v>#N/A</v>
      </c>
      <c r="K240" s="160" t="e">
        <f t="shared" ca="1" si="161"/>
        <v>#N/A</v>
      </c>
      <c r="L240" s="101" t="e">
        <f t="shared" ca="1" si="184"/>
        <v>#N/A</v>
      </c>
      <c r="M240" s="101" t="e">
        <f t="shared" ca="1" si="185"/>
        <v>#N/A</v>
      </c>
      <c r="N240" s="101" t="e">
        <f t="shared" ca="1" si="162"/>
        <v>#N/A</v>
      </c>
      <c r="O240" s="285">
        <f t="shared" si="186"/>
        <v>2.0097343489636695E-4</v>
      </c>
      <c r="P240" s="99">
        <f t="shared" si="187"/>
        <v>2.0100000000000001E-4</v>
      </c>
      <c r="Q240" s="99">
        <f t="shared" si="166"/>
        <v>0.99871999999999994</v>
      </c>
      <c r="R240" s="99" t="e">
        <f t="shared" ca="1" si="188"/>
        <v>#N/A</v>
      </c>
      <c r="S240" s="161" t="e">
        <f t="shared" ca="1" si="167"/>
        <v>#N/A</v>
      </c>
      <c r="T240" s="286" t="e">
        <f t="shared" ca="1" si="189"/>
        <v>#N/A</v>
      </c>
      <c r="U240" s="285">
        <f t="shared" si="190"/>
        <v>2.4412859885962691E-6</v>
      </c>
      <c r="V240" s="99">
        <f t="shared" si="191"/>
        <v>1.9999999999999999E-6</v>
      </c>
      <c r="W240" s="99">
        <f t="shared" si="168"/>
        <v>0.99999099999999985</v>
      </c>
      <c r="X240" s="99" t="e">
        <f t="shared" ca="1" si="192"/>
        <v>#N/A</v>
      </c>
      <c r="Y240" s="161" t="e">
        <f t="shared" ca="1" si="169"/>
        <v>#N/A</v>
      </c>
      <c r="Z240" s="286" t="e">
        <f t="shared" ca="1" si="193"/>
        <v>#N/A</v>
      </c>
      <c r="AA240" s="285">
        <f t="shared" si="194"/>
        <v>2.752276140952554E-3</v>
      </c>
      <c r="AB240" s="99">
        <f t="shared" si="195"/>
        <v>2.7899999999999999E-3</v>
      </c>
      <c r="AC240" s="99">
        <f t="shared" si="170"/>
        <v>0.97212599999999982</v>
      </c>
      <c r="AD240" s="99" t="e">
        <f t="shared" ca="1" si="196"/>
        <v>#N/A</v>
      </c>
      <c r="AE240" s="161" t="e">
        <f t="shared" ca="1" si="171"/>
        <v>#N/A</v>
      </c>
      <c r="AF240" s="286" t="e">
        <f t="shared" ca="1" si="197"/>
        <v>#N/A</v>
      </c>
      <c r="AG240" s="285">
        <f t="shared" si="198"/>
        <v>9.5552317297304475E-4</v>
      </c>
      <c r="AH240" s="99">
        <f t="shared" si="199"/>
        <v>9.5699999999999995E-4</v>
      </c>
      <c r="AI240" s="99">
        <f t="shared" si="172"/>
        <v>0.992564</v>
      </c>
      <c r="AJ240" s="99" t="e">
        <f t="shared" ca="1" si="200"/>
        <v>#N/A</v>
      </c>
      <c r="AK240" s="161" t="e">
        <f t="shared" ca="1" si="173"/>
        <v>#N/A</v>
      </c>
      <c r="AL240" s="286" t="e">
        <f t="shared" ca="1" si="201"/>
        <v>#N/A</v>
      </c>
      <c r="AM240" s="285">
        <f t="shared" si="202"/>
        <v>1.0249835316369674E-3</v>
      </c>
      <c r="AN240" s="99">
        <f t="shared" si="203"/>
        <v>1.0269999999999999E-3</v>
      </c>
      <c r="AO240" s="99">
        <f t="shared" si="174"/>
        <v>0.99228500000000008</v>
      </c>
      <c r="AP240" s="99" t="e">
        <f t="shared" ca="1" si="204"/>
        <v>#N/A</v>
      </c>
      <c r="AQ240" s="161" t="e">
        <f t="shared" ca="1" si="175"/>
        <v>#N/A</v>
      </c>
      <c r="AR240" s="286" t="e">
        <f t="shared" ca="1" si="205"/>
        <v>#N/A</v>
      </c>
      <c r="AS240" s="285">
        <f t="shared" si="206"/>
        <v>3.7428296382028008E-4</v>
      </c>
      <c r="AT240" s="99">
        <f t="shared" si="207"/>
        <v>3.7399999999999998E-4</v>
      </c>
      <c r="AU240" s="99">
        <f t="shared" si="176"/>
        <v>0.99738300000000002</v>
      </c>
      <c r="AV240" s="99" t="e">
        <f t="shared" ca="1" si="208"/>
        <v>#N/A</v>
      </c>
      <c r="AW240" s="161" t="e">
        <f t="shared" ca="1" si="177"/>
        <v>#N/A</v>
      </c>
      <c r="AX240" s="286" t="e">
        <f t="shared" ca="1" si="209"/>
        <v>#N/A</v>
      </c>
    </row>
    <row r="241" spans="2:86" x14ac:dyDescent="0.25">
      <c r="B241" s="104">
        <f t="shared" si="164"/>
        <v>41</v>
      </c>
      <c r="C241" s="94">
        <v>42</v>
      </c>
      <c r="D241" s="94">
        <f t="shared" si="180"/>
        <v>1.7420134051864008E-4</v>
      </c>
      <c r="E241" s="94">
        <f t="shared" si="181"/>
        <v>1.74E-4</v>
      </c>
      <c r="F241" s="94">
        <f t="shared" si="165"/>
        <v>0.99889399999999995</v>
      </c>
      <c r="G241" s="94" t="e">
        <f t="shared" ca="1" si="182"/>
        <v>#N/A</v>
      </c>
      <c r="H241" s="94" t="e">
        <f t="shared" ca="1" si="183"/>
        <v>#N/A</v>
      </c>
      <c r="I241" s="161" t="e">
        <f t="shared" ca="1" si="179"/>
        <v>#N/A</v>
      </c>
      <c r="J241" s="156" t="e">
        <f t="shared" ca="1" si="178"/>
        <v>#N/A</v>
      </c>
      <c r="K241" s="160" t="e">
        <f t="shared" ca="1" si="161"/>
        <v>#N/A</v>
      </c>
      <c r="L241" s="101" t="e">
        <f t="shared" ca="1" si="184"/>
        <v>#N/A</v>
      </c>
      <c r="M241" s="101" t="e">
        <f t="shared" ca="1" si="185"/>
        <v>#N/A</v>
      </c>
      <c r="N241" s="101" t="e">
        <f t="shared" ca="1" si="162"/>
        <v>#N/A</v>
      </c>
      <c r="O241" s="285">
        <f t="shared" si="186"/>
        <v>1.7420134051864008E-4</v>
      </c>
      <c r="P241" s="99">
        <f t="shared" si="187"/>
        <v>1.74E-4</v>
      </c>
      <c r="Q241" s="99">
        <f t="shared" si="166"/>
        <v>0.99889399999999995</v>
      </c>
      <c r="R241" s="99" t="e">
        <f t="shared" ca="1" si="188"/>
        <v>#N/A</v>
      </c>
      <c r="S241" s="161" t="e">
        <f t="shared" ca="1" si="167"/>
        <v>#N/A</v>
      </c>
      <c r="T241" s="286" t="e">
        <f t="shared" ca="1" si="189"/>
        <v>#N/A</v>
      </c>
      <c r="U241" s="285">
        <f t="shared" si="190"/>
        <v>1.9360307230400938E-6</v>
      </c>
      <c r="V241" s="99">
        <f t="shared" si="191"/>
        <v>1.9999999999999999E-6</v>
      </c>
      <c r="W241" s="99">
        <f t="shared" si="168"/>
        <v>0.9999929999999998</v>
      </c>
      <c r="X241" s="99" t="e">
        <f t="shared" ca="1" si="192"/>
        <v>#N/A</v>
      </c>
      <c r="Y241" s="161" t="e">
        <f t="shared" ca="1" si="169"/>
        <v>#N/A</v>
      </c>
      <c r="Z241" s="286" t="e">
        <f t="shared" ca="1" si="193"/>
        <v>#N/A</v>
      </c>
      <c r="AA241" s="285">
        <f t="shared" si="194"/>
        <v>2.550079371800725E-3</v>
      </c>
      <c r="AB241" s="99">
        <f t="shared" si="195"/>
        <v>2.5850000000000001E-3</v>
      </c>
      <c r="AC241" s="99">
        <f t="shared" si="170"/>
        <v>0.97471099999999977</v>
      </c>
      <c r="AD241" s="99" t="e">
        <f t="shared" ca="1" si="196"/>
        <v>#N/A</v>
      </c>
      <c r="AE241" s="161" t="e">
        <f t="shared" ca="1" si="171"/>
        <v>#N/A</v>
      </c>
      <c r="AF241" s="286" t="e">
        <f t="shared" ca="1" si="197"/>
        <v>#N/A</v>
      </c>
      <c r="AG241" s="285">
        <f t="shared" si="198"/>
        <v>8.5476391724705753E-4</v>
      </c>
      <c r="AH241" s="99">
        <f t="shared" si="199"/>
        <v>8.5599999999999999E-4</v>
      </c>
      <c r="AI241" s="99">
        <f t="shared" si="172"/>
        <v>0.99341999999999997</v>
      </c>
      <c r="AJ241" s="99" t="e">
        <f t="shared" ca="1" si="200"/>
        <v>#N/A</v>
      </c>
      <c r="AK241" s="161" t="e">
        <f t="shared" ca="1" si="173"/>
        <v>#N/A</v>
      </c>
      <c r="AL241" s="286" t="e">
        <f t="shared" ca="1" si="201"/>
        <v>#N/A</v>
      </c>
      <c r="AM241" s="285">
        <f t="shared" si="202"/>
        <v>9.1272109379272881E-4</v>
      </c>
      <c r="AN241" s="99">
        <f t="shared" si="203"/>
        <v>9.1399999999999999E-4</v>
      </c>
      <c r="AO241" s="99">
        <f t="shared" si="174"/>
        <v>0.99319900000000005</v>
      </c>
      <c r="AP241" s="99" t="e">
        <f t="shared" ca="1" si="204"/>
        <v>#N/A</v>
      </c>
      <c r="AQ241" s="161" t="e">
        <f t="shared" ca="1" si="175"/>
        <v>#N/A</v>
      </c>
      <c r="AR241" s="286" t="e">
        <f t="shared" ca="1" si="205"/>
        <v>#N/A</v>
      </c>
      <c r="AS241" s="285">
        <f t="shared" si="206"/>
        <v>3.2930360342304583E-4</v>
      </c>
      <c r="AT241" s="99">
        <f t="shared" si="207"/>
        <v>3.2899999999999997E-4</v>
      </c>
      <c r="AU241" s="99">
        <f t="shared" si="176"/>
        <v>0.99771200000000004</v>
      </c>
      <c r="AV241" s="99" t="e">
        <f t="shared" ca="1" si="208"/>
        <v>#N/A</v>
      </c>
      <c r="AW241" s="161" t="e">
        <f t="shared" ca="1" si="177"/>
        <v>#N/A</v>
      </c>
      <c r="AX241" s="286" t="e">
        <f t="shared" ca="1" si="209"/>
        <v>#N/A</v>
      </c>
    </row>
    <row r="242" spans="2:86" x14ac:dyDescent="0.25">
      <c r="B242" s="104">
        <f t="shared" si="164"/>
        <v>42</v>
      </c>
      <c r="C242" s="94">
        <v>43</v>
      </c>
      <c r="D242" s="94">
        <f t="shared" si="180"/>
        <v>1.5127214455930337E-4</v>
      </c>
      <c r="E242" s="94">
        <f t="shared" si="181"/>
        <v>1.5100000000000001E-4</v>
      </c>
      <c r="F242" s="94">
        <f t="shared" si="165"/>
        <v>0.99904499999999996</v>
      </c>
      <c r="G242" s="94" t="e">
        <f t="shared" ca="1" si="182"/>
        <v>#N/A</v>
      </c>
      <c r="H242" s="94" t="e">
        <f t="shared" ca="1" si="183"/>
        <v>#N/A</v>
      </c>
      <c r="I242" s="161" t="e">
        <f t="shared" ca="1" si="179"/>
        <v>#N/A</v>
      </c>
      <c r="J242" s="156" t="e">
        <f t="shared" ca="1" si="178"/>
        <v>#N/A</v>
      </c>
      <c r="K242" s="160" t="e">
        <f t="shared" ca="1" si="161"/>
        <v>#N/A</v>
      </c>
      <c r="L242" s="101" t="e">
        <f t="shared" ca="1" si="184"/>
        <v>#N/A</v>
      </c>
      <c r="M242" s="101" t="e">
        <f t="shared" ca="1" si="185"/>
        <v>#N/A</v>
      </c>
      <c r="N242" s="101" t="e">
        <f t="shared" ca="1" si="162"/>
        <v>#N/A</v>
      </c>
      <c r="O242" s="285">
        <f t="shared" si="186"/>
        <v>1.5127214455930337E-4</v>
      </c>
      <c r="P242" s="99">
        <f t="shared" si="187"/>
        <v>1.5100000000000001E-4</v>
      </c>
      <c r="Q242" s="99">
        <f t="shared" si="166"/>
        <v>0.99904499999999996</v>
      </c>
      <c r="R242" s="99" t="e">
        <f t="shared" ca="1" si="188"/>
        <v>#N/A</v>
      </c>
      <c r="S242" s="161" t="e">
        <f t="shared" ca="1" si="167"/>
        <v>#N/A</v>
      </c>
      <c r="T242" s="286" t="e">
        <f t="shared" ca="1" si="189"/>
        <v>#N/A</v>
      </c>
      <c r="U242" s="285">
        <f t="shared" si="190"/>
        <v>1.5402144465500998E-6</v>
      </c>
      <c r="V242" s="99">
        <f t="shared" si="191"/>
        <v>1.9999999999999999E-6</v>
      </c>
      <c r="W242" s="99">
        <f t="shared" si="168"/>
        <v>0.99999499999999975</v>
      </c>
      <c r="X242" s="99" t="e">
        <f t="shared" ca="1" si="192"/>
        <v>#N/A</v>
      </c>
      <c r="Y242" s="161" t="e">
        <f t="shared" ca="1" si="169"/>
        <v>#N/A</v>
      </c>
      <c r="Z242" s="286" t="e">
        <f t="shared" ca="1" si="193"/>
        <v>#N/A</v>
      </c>
      <c r="AA242" s="285">
        <f t="shared" si="194"/>
        <v>2.3649220751957739E-3</v>
      </c>
      <c r="AB242" s="99">
        <f t="shared" si="195"/>
        <v>2.3969999999999998E-3</v>
      </c>
      <c r="AC242" s="99">
        <f t="shared" si="170"/>
        <v>0.97710799999999975</v>
      </c>
      <c r="AD242" s="99" t="e">
        <f t="shared" ca="1" si="196"/>
        <v>#N/A</v>
      </c>
      <c r="AE242" s="161" t="e">
        <f t="shared" ca="1" si="171"/>
        <v>#N/A</v>
      </c>
      <c r="AF242" s="286" t="e">
        <f t="shared" ca="1" si="197"/>
        <v>#N/A</v>
      </c>
      <c r="AG242" s="285">
        <f t="shared" si="198"/>
        <v>7.6562742288593174E-4</v>
      </c>
      <c r="AH242" s="99">
        <f t="shared" si="199"/>
        <v>7.67E-4</v>
      </c>
      <c r="AI242" s="99">
        <f t="shared" si="172"/>
        <v>0.99418699999999993</v>
      </c>
      <c r="AJ242" s="99" t="e">
        <f t="shared" ca="1" si="200"/>
        <v>#N/A</v>
      </c>
      <c r="AK242" s="161" t="e">
        <f t="shared" ca="1" si="173"/>
        <v>#N/A</v>
      </c>
      <c r="AL242" s="286" t="e">
        <f t="shared" ca="1" si="201"/>
        <v>#N/A</v>
      </c>
      <c r="AM242" s="285">
        <f t="shared" si="202"/>
        <v>8.1378107968769348E-4</v>
      </c>
      <c r="AN242" s="99">
        <f t="shared" si="203"/>
        <v>8.1499999999999997E-4</v>
      </c>
      <c r="AO242" s="99">
        <f t="shared" si="174"/>
        <v>0.99401400000000006</v>
      </c>
      <c r="AP242" s="99" t="e">
        <f t="shared" ca="1" si="204"/>
        <v>#N/A</v>
      </c>
      <c r="AQ242" s="161" t="e">
        <f t="shared" ca="1" si="175"/>
        <v>#N/A</v>
      </c>
      <c r="AR242" s="286" t="e">
        <f t="shared" ca="1" si="205"/>
        <v>#N/A</v>
      </c>
      <c r="AS242" s="285">
        <f t="shared" si="206"/>
        <v>2.9020153923931853E-4</v>
      </c>
      <c r="AT242" s="99">
        <f t="shared" si="207"/>
        <v>2.9E-4</v>
      </c>
      <c r="AU242" s="99">
        <f t="shared" si="176"/>
        <v>0.99800200000000006</v>
      </c>
      <c r="AV242" s="99" t="e">
        <f t="shared" ca="1" si="208"/>
        <v>#N/A</v>
      </c>
      <c r="AW242" s="161" t="e">
        <f t="shared" ca="1" si="177"/>
        <v>#N/A</v>
      </c>
      <c r="AX242" s="286" t="e">
        <f t="shared" ca="1" si="209"/>
        <v>#N/A</v>
      </c>
    </row>
    <row r="243" spans="2:86" x14ac:dyDescent="0.25">
      <c r="B243" s="104">
        <f t="shared" si="164"/>
        <v>43</v>
      </c>
      <c r="C243" s="94">
        <v>44</v>
      </c>
      <c r="D243" s="94">
        <f t="shared" si="180"/>
        <v>1.31595086508398E-4</v>
      </c>
      <c r="E243" s="94">
        <f t="shared" si="181"/>
        <v>1.3200000000000001E-4</v>
      </c>
      <c r="F243" s="94">
        <f t="shared" si="165"/>
        <v>0.99917699999999998</v>
      </c>
      <c r="G243" s="94" t="e">
        <f t="shared" ca="1" si="182"/>
        <v>#N/A</v>
      </c>
      <c r="H243" s="94" t="e">
        <f t="shared" ca="1" si="183"/>
        <v>#N/A</v>
      </c>
      <c r="I243" s="161" t="e">
        <f t="shared" ca="1" si="179"/>
        <v>#N/A</v>
      </c>
      <c r="J243" s="156" t="e">
        <f t="shared" ca="1" si="178"/>
        <v>#N/A</v>
      </c>
      <c r="K243" s="160" t="e">
        <f t="shared" ca="1" si="161"/>
        <v>#N/A</v>
      </c>
      <c r="L243" s="101" t="e">
        <f t="shared" ca="1" si="184"/>
        <v>#N/A</v>
      </c>
      <c r="M243" s="101" t="e">
        <f t="shared" ca="1" si="185"/>
        <v>#N/A</v>
      </c>
      <c r="N243" s="101" t="e">
        <f t="shared" ca="1" si="162"/>
        <v>#N/A</v>
      </c>
      <c r="O243" s="285">
        <f t="shared" si="186"/>
        <v>1.31595086508398E-4</v>
      </c>
      <c r="P243" s="99">
        <f t="shared" si="187"/>
        <v>1.3200000000000001E-4</v>
      </c>
      <c r="Q243" s="99">
        <f t="shared" si="166"/>
        <v>0.99917699999999998</v>
      </c>
      <c r="R243" s="99" t="e">
        <f t="shared" ca="1" si="188"/>
        <v>#N/A</v>
      </c>
      <c r="S243" s="161" t="e">
        <f t="shared" ca="1" si="167"/>
        <v>#N/A</v>
      </c>
      <c r="T243" s="286" t="e">
        <f t="shared" ca="1" si="189"/>
        <v>#N/A</v>
      </c>
      <c r="U243" s="285">
        <f t="shared" si="190"/>
        <v>1.2290933208200089E-6</v>
      </c>
      <c r="V243" s="99">
        <f t="shared" si="191"/>
        <v>9.9999999999999995E-7</v>
      </c>
      <c r="W243" s="99">
        <f t="shared" si="168"/>
        <v>0.99999599999999977</v>
      </c>
      <c r="X243" s="99" t="e">
        <f t="shared" ca="1" si="192"/>
        <v>#N/A</v>
      </c>
      <c r="Y243" s="161" t="e">
        <f t="shared" ca="1" si="169"/>
        <v>#N/A</v>
      </c>
      <c r="Z243" s="286" t="e">
        <f t="shared" ca="1" si="193"/>
        <v>#N/A</v>
      </c>
      <c r="AA243" s="285">
        <f t="shared" si="194"/>
        <v>2.1951871696104675E-3</v>
      </c>
      <c r="AB243" s="99">
        <f t="shared" si="195"/>
        <v>2.225E-3</v>
      </c>
      <c r="AC243" s="99">
        <f t="shared" si="170"/>
        <v>0.97933299999999979</v>
      </c>
      <c r="AD243" s="99" t="e">
        <f t="shared" ca="1" si="196"/>
        <v>#N/A</v>
      </c>
      <c r="AE243" s="161" t="e">
        <f t="shared" ca="1" si="171"/>
        <v>#N/A</v>
      </c>
      <c r="AF243" s="286" t="e">
        <f t="shared" ca="1" si="197"/>
        <v>#N/A</v>
      </c>
      <c r="AG243" s="285">
        <f t="shared" si="198"/>
        <v>6.8666054111195989E-4</v>
      </c>
      <c r="AH243" s="99">
        <f t="shared" si="199"/>
        <v>6.8800000000000003E-4</v>
      </c>
      <c r="AI243" s="99">
        <f t="shared" si="172"/>
        <v>0.99487499999999995</v>
      </c>
      <c r="AJ243" s="99" t="e">
        <f t="shared" ca="1" si="200"/>
        <v>#N/A</v>
      </c>
      <c r="AK243" s="161" t="e">
        <f t="shared" ca="1" si="173"/>
        <v>#N/A</v>
      </c>
      <c r="AL243" s="286" t="e">
        <f t="shared" ca="1" si="201"/>
        <v>#N/A</v>
      </c>
      <c r="AM243" s="285">
        <f t="shared" si="202"/>
        <v>7.2646493898862136E-4</v>
      </c>
      <c r="AN243" s="99">
        <f t="shared" si="203"/>
        <v>7.2800000000000002E-4</v>
      </c>
      <c r="AO243" s="99">
        <f t="shared" si="174"/>
        <v>0.99474200000000002</v>
      </c>
      <c r="AP243" s="99" t="e">
        <f t="shared" ca="1" si="204"/>
        <v>#N/A</v>
      </c>
      <c r="AQ243" s="161" t="e">
        <f t="shared" ca="1" si="175"/>
        <v>#N/A</v>
      </c>
      <c r="AR243" s="286" t="e">
        <f t="shared" ca="1" si="205"/>
        <v>#N/A</v>
      </c>
      <c r="AS243" s="285">
        <f t="shared" si="206"/>
        <v>2.5614796977086672E-4</v>
      </c>
      <c r="AT243" s="99">
        <f t="shared" si="207"/>
        <v>2.5599999999999999E-4</v>
      </c>
      <c r="AU243" s="99">
        <f t="shared" si="176"/>
        <v>0.99825800000000009</v>
      </c>
      <c r="AV243" s="99" t="e">
        <f t="shared" ca="1" si="208"/>
        <v>#N/A</v>
      </c>
      <c r="AW243" s="161" t="e">
        <f t="shared" ca="1" si="177"/>
        <v>#N/A</v>
      </c>
      <c r="AX243" s="286" t="e">
        <f t="shared" ca="1" si="209"/>
        <v>#N/A</v>
      </c>
    </row>
    <row r="244" spans="2:86" x14ac:dyDescent="0.25">
      <c r="B244" s="104">
        <f t="shared" si="164"/>
        <v>44</v>
      </c>
      <c r="C244" s="94">
        <v>45</v>
      </c>
      <c r="D244" s="94">
        <f t="shared" si="180"/>
        <v>1.1467612184442529E-4</v>
      </c>
      <c r="E244" s="94">
        <f t="shared" si="181"/>
        <v>1.15E-4</v>
      </c>
      <c r="F244" s="94">
        <f t="shared" si="165"/>
        <v>0.99929199999999996</v>
      </c>
      <c r="G244" s="94" t="e">
        <f t="shared" ca="1" si="182"/>
        <v>#N/A</v>
      </c>
      <c r="H244" s="94" t="e">
        <f t="shared" ca="1" si="183"/>
        <v>#N/A</v>
      </c>
      <c r="I244" s="161" t="e">
        <f t="shared" ca="1" si="179"/>
        <v>#N/A</v>
      </c>
      <c r="J244" s="156" t="e">
        <f t="shared" ca="1" si="178"/>
        <v>#N/A</v>
      </c>
      <c r="K244" s="160" t="e">
        <f t="shared" ca="1" si="161"/>
        <v>#N/A</v>
      </c>
      <c r="L244" s="101" t="e">
        <f t="shared" ca="1" si="184"/>
        <v>#N/A</v>
      </c>
      <c r="M244" s="101" t="e">
        <f t="shared" ca="1" si="185"/>
        <v>#N/A</v>
      </c>
      <c r="N244" s="101" t="e">
        <f t="shared" ca="1" si="162"/>
        <v>#N/A</v>
      </c>
      <c r="O244" s="285">
        <f t="shared" si="186"/>
        <v>1.1467612184442529E-4</v>
      </c>
      <c r="P244" s="99">
        <f t="shared" si="187"/>
        <v>1.15E-4</v>
      </c>
      <c r="Q244" s="99">
        <f t="shared" si="166"/>
        <v>0.99929199999999996</v>
      </c>
      <c r="R244" s="99" t="e">
        <f t="shared" ca="1" si="188"/>
        <v>#N/A</v>
      </c>
      <c r="S244" s="161" t="e">
        <f t="shared" ca="1" si="167"/>
        <v>#N/A</v>
      </c>
      <c r="T244" s="286" t="e">
        <f t="shared" ca="1" si="189"/>
        <v>#N/A</v>
      </c>
      <c r="U244" s="285">
        <f t="shared" si="190"/>
        <v>9.8374907256667936E-7</v>
      </c>
      <c r="V244" s="99">
        <f t="shared" si="191"/>
        <v>9.9999999999999995E-7</v>
      </c>
      <c r="W244" s="99">
        <f t="shared" si="168"/>
        <v>0.9999969999999998</v>
      </c>
      <c r="X244" s="99" t="e">
        <f t="shared" ca="1" si="192"/>
        <v>#N/A</v>
      </c>
      <c r="Y244" s="161" t="e">
        <f t="shared" ca="1" si="169"/>
        <v>#N/A</v>
      </c>
      <c r="Z244" s="286" t="e">
        <f t="shared" ca="1" si="193"/>
        <v>#N/A</v>
      </c>
      <c r="AA244" s="285">
        <f t="shared" si="194"/>
        <v>2.0394275490250805E-3</v>
      </c>
      <c r="AB244" s="99">
        <f t="shared" si="195"/>
        <v>2.0669999999999998E-3</v>
      </c>
      <c r="AC244" s="99">
        <f t="shared" si="170"/>
        <v>0.98139999999999983</v>
      </c>
      <c r="AD244" s="99" t="e">
        <f t="shared" ca="1" si="196"/>
        <v>#N/A</v>
      </c>
      <c r="AE244" s="161" t="e">
        <f t="shared" ca="1" si="171"/>
        <v>#N/A</v>
      </c>
      <c r="AF244" s="286" t="e">
        <f t="shared" ca="1" si="197"/>
        <v>#N/A</v>
      </c>
      <c r="AG244" s="285">
        <f t="shared" si="198"/>
        <v>6.1660534144913079E-4</v>
      </c>
      <c r="AH244" s="99">
        <f t="shared" si="199"/>
        <v>6.1799999999999995E-4</v>
      </c>
      <c r="AI244" s="99">
        <f t="shared" si="172"/>
        <v>0.99549299999999996</v>
      </c>
      <c r="AJ244" s="99" t="e">
        <f t="shared" ca="1" si="200"/>
        <v>#N/A</v>
      </c>
      <c r="AK244" s="161" t="e">
        <f t="shared" ca="1" si="173"/>
        <v>#N/A</v>
      </c>
      <c r="AL244" s="286" t="e">
        <f t="shared" ca="1" si="201"/>
        <v>#N/A</v>
      </c>
      <c r="AM244" s="285">
        <f t="shared" si="202"/>
        <v>6.4930485244207815E-4</v>
      </c>
      <c r="AN244" s="99">
        <f t="shared" si="203"/>
        <v>6.4999999999999997E-4</v>
      </c>
      <c r="AO244" s="99">
        <f t="shared" si="174"/>
        <v>0.99539200000000005</v>
      </c>
      <c r="AP244" s="99" t="e">
        <f t="shared" ca="1" si="204"/>
        <v>#N/A</v>
      </c>
      <c r="AQ244" s="161" t="e">
        <f t="shared" ca="1" si="175"/>
        <v>#N/A</v>
      </c>
      <c r="AR244" s="286" t="e">
        <f t="shared" ca="1" si="205"/>
        <v>#N/A</v>
      </c>
      <c r="AS244" s="285">
        <f t="shared" si="206"/>
        <v>2.2643936915525743E-4</v>
      </c>
      <c r="AT244" s="99">
        <f t="shared" si="207"/>
        <v>2.2699999999999999E-4</v>
      </c>
      <c r="AU244" s="99">
        <f t="shared" si="176"/>
        <v>0.99848500000000007</v>
      </c>
      <c r="AV244" s="99" t="e">
        <f t="shared" ca="1" si="208"/>
        <v>#N/A</v>
      </c>
      <c r="AW244" s="161" t="e">
        <f t="shared" ca="1" si="177"/>
        <v>#N/A</v>
      </c>
      <c r="AX244" s="286" t="e">
        <f t="shared" ca="1" si="209"/>
        <v>#N/A</v>
      </c>
    </row>
    <row r="245" spans="2:86" x14ac:dyDescent="0.25">
      <c r="B245" s="104">
        <f t="shared" si="164"/>
        <v>45</v>
      </c>
      <c r="C245" s="94">
        <v>46</v>
      </c>
      <c r="D245" s="94">
        <f t="shared" si="180"/>
        <v>1.001011471760572E-4</v>
      </c>
      <c r="E245" s="94">
        <f t="shared" si="181"/>
        <v>1E-4</v>
      </c>
      <c r="F245" s="94">
        <f t="shared" si="165"/>
        <v>0.99939199999999995</v>
      </c>
      <c r="G245" s="94" t="e">
        <f t="shared" ca="1" si="182"/>
        <v>#N/A</v>
      </c>
      <c r="H245" s="94" t="e">
        <f t="shared" ca="1" si="183"/>
        <v>#N/A</v>
      </c>
      <c r="I245" s="161" t="e">
        <f t="shared" ca="1" si="179"/>
        <v>#N/A</v>
      </c>
      <c r="J245" s="156" t="e">
        <f t="shared" ca="1" si="178"/>
        <v>#N/A</v>
      </c>
      <c r="K245" s="160" t="e">
        <f t="shared" ca="1" si="161"/>
        <v>#N/A</v>
      </c>
      <c r="L245" s="101" t="e">
        <f t="shared" ca="1" si="184"/>
        <v>#N/A</v>
      </c>
      <c r="M245" s="101" t="e">
        <f t="shared" ca="1" si="185"/>
        <v>#N/A</v>
      </c>
      <c r="N245" s="101" t="e">
        <f t="shared" ca="1" si="162"/>
        <v>#N/A</v>
      </c>
      <c r="O245" s="285">
        <f t="shared" si="186"/>
        <v>1.001011471760572E-4</v>
      </c>
      <c r="P245" s="99">
        <f t="shared" si="187"/>
        <v>1E-4</v>
      </c>
      <c r="Q245" s="99">
        <f t="shared" si="166"/>
        <v>0.99939199999999995</v>
      </c>
      <c r="R245" s="99" t="e">
        <f t="shared" ca="1" si="188"/>
        <v>#N/A</v>
      </c>
      <c r="S245" s="161" t="e">
        <f t="shared" ca="1" si="167"/>
        <v>#N/A</v>
      </c>
      <c r="T245" s="286" t="e">
        <f t="shared" ca="1" si="189"/>
        <v>#N/A</v>
      </c>
      <c r="U245" s="285">
        <f t="shared" si="190"/>
        <v>7.8966404868802396E-7</v>
      </c>
      <c r="V245" s="99">
        <f t="shared" si="191"/>
        <v>9.9999999999999995E-7</v>
      </c>
      <c r="W245" s="99">
        <f t="shared" si="168"/>
        <v>0.99999799999999983</v>
      </c>
      <c r="X245" s="99" t="e">
        <f t="shared" ca="1" si="192"/>
        <v>#N/A</v>
      </c>
      <c r="Y245" s="161" t="e">
        <f t="shared" ca="1" si="169"/>
        <v>#N/A</v>
      </c>
      <c r="Z245" s="286" t="e">
        <f t="shared" ca="1" si="193"/>
        <v>#N/A</v>
      </c>
      <c r="AA245" s="285">
        <f t="shared" si="194"/>
        <v>1.8963466006454042E-3</v>
      </c>
      <c r="AB245" s="99">
        <f t="shared" si="195"/>
        <v>1.9220000000000001E-3</v>
      </c>
      <c r="AC245" s="99">
        <f t="shared" si="170"/>
        <v>0.98332199999999981</v>
      </c>
      <c r="AD245" s="99" t="e">
        <f t="shared" ca="1" si="196"/>
        <v>#N/A</v>
      </c>
      <c r="AE245" s="161" t="e">
        <f t="shared" ca="1" si="171"/>
        <v>#N/A</v>
      </c>
      <c r="AF245" s="286" t="e">
        <f t="shared" ca="1" si="197"/>
        <v>#N/A</v>
      </c>
      <c r="AG245" s="285">
        <f t="shared" si="198"/>
        <v>5.5437116689914241E-4</v>
      </c>
      <c r="AH245" s="99">
        <f t="shared" si="199"/>
        <v>5.5500000000000005E-4</v>
      </c>
      <c r="AI245" s="99">
        <f t="shared" si="172"/>
        <v>0.99604799999999993</v>
      </c>
      <c r="AJ245" s="99" t="e">
        <f t="shared" ca="1" si="200"/>
        <v>#N/A</v>
      </c>
      <c r="AK245" s="161" t="e">
        <f t="shared" ca="1" si="173"/>
        <v>#N/A</v>
      </c>
      <c r="AL245" s="286" t="e">
        <f t="shared" ca="1" si="201"/>
        <v>#N/A</v>
      </c>
      <c r="AM245" s="285">
        <f t="shared" si="202"/>
        <v>5.8103062065188943E-4</v>
      </c>
      <c r="AN245" s="99">
        <f t="shared" si="203"/>
        <v>5.8200000000000005E-4</v>
      </c>
      <c r="AO245" s="99">
        <f t="shared" si="174"/>
        <v>0.99597400000000003</v>
      </c>
      <c r="AP245" s="99" t="e">
        <f t="shared" ca="1" si="204"/>
        <v>#N/A</v>
      </c>
      <c r="AQ245" s="161" t="e">
        <f t="shared" ca="1" si="175"/>
        <v>#N/A</v>
      </c>
      <c r="AR245" s="286" t="e">
        <f t="shared" ca="1" si="205"/>
        <v>#N/A</v>
      </c>
      <c r="AS245" s="285">
        <f t="shared" si="206"/>
        <v>2.0047731805942598E-4</v>
      </c>
      <c r="AT245" s="99">
        <f t="shared" si="207"/>
        <v>2.0100000000000001E-4</v>
      </c>
      <c r="AU245" s="99">
        <f t="shared" si="176"/>
        <v>0.99868600000000007</v>
      </c>
      <c r="AV245" s="99" t="e">
        <f t="shared" ca="1" si="208"/>
        <v>#N/A</v>
      </c>
      <c r="AW245" s="161" t="e">
        <f t="shared" ca="1" si="177"/>
        <v>#N/A</v>
      </c>
      <c r="AX245" s="286" t="e">
        <f t="shared" ca="1" si="209"/>
        <v>#N/A</v>
      </c>
    </row>
    <row r="246" spans="2:86" x14ac:dyDescent="0.25">
      <c r="B246" s="104">
        <f t="shared" si="164"/>
        <v>46</v>
      </c>
      <c r="C246" s="94">
        <v>47</v>
      </c>
      <c r="D246" s="94">
        <f t="shared" si="180"/>
        <v>8.7522292849428077E-5</v>
      </c>
      <c r="E246" s="94">
        <f t="shared" si="181"/>
        <v>8.7999999999999998E-5</v>
      </c>
      <c r="F246" s="94">
        <f t="shared" si="165"/>
        <v>0.99947999999999992</v>
      </c>
      <c r="G246" s="94" t="e">
        <f t="shared" ca="1" si="182"/>
        <v>#N/A</v>
      </c>
      <c r="H246" s="94" t="e">
        <f t="shared" ca="1" si="183"/>
        <v>#N/A</v>
      </c>
      <c r="I246" s="161" t="e">
        <f t="shared" ca="1" si="179"/>
        <v>#N/A</v>
      </c>
      <c r="J246" s="156" t="e">
        <f t="shared" ca="1" si="178"/>
        <v>#N/A</v>
      </c>
      <c r="K246" s="160" t="e">
        <f t="shared" ca="1" si="161"/>
        <v>#N/A</v>
      </c>
      <c r="L246" s="101" t="e">
        <f t="shared" ca="1" si="184"/>
        <v>#N/A</v>
      </c>
      <c r="M246" s="101" t="e">
        <f t="shared" ca="1" si="185"/>
        <v>#N/A</v>
      </c>
      <c r="N246" s="101" t="e">
        <f t="shared" ca="1" si="162"/>
        <v>#N/A</v>
      </c>
      <c r="O246" s="285">
        <f t="shared" si="186"/>
        <v>8.7522292849428077E-5</v>
      </c>
      <c r="P246" s="99">
        <f t="shared" si="187"/>
        <v>8.7999999999999998E-5</v>
      </c>
      <c r="Q246" s="99">
        <f t="shared" si="166"/>
        <v>0.99947999999999992</v>
      </c>
      <c r="R246" s="99" t="e">
        <f t="shared" ca="1" si="188"/>
        <v>#N/A</v>
      </c>
      <c r="S246" s="161" t="e">
        <f t="shared" ca="1" si="167"/>
        <v>#N/A</v>
      </c>
      <c r="T246" s="286" t="e">
        <f t="shared" ca="1" si="189"/>
        <v>#N/A</v>
      </c>
      <c r="U246" s="285">
        <f t="shared" si="190"/>
        <v>6.356576185585655E-7</v>
      </c>
      <c r="V246" s="99">
        <f t="shared" si="191"/>
        <v>9.9999999999999995E-7</v>
      </c>
      <c r="W246" s="99">
        <f t="shared" si="168"/>
        <v>0.99999899999999986</v>
      </c>
      <c r="X246" s="99" t="e">
        <f t="shared" ca="1" si="192"/>
        <v>#N/A</v>
      </c>
      <c r="Y246" s="161" t="e">
        <f t="shared" ca="1" si="169"/>
        <v>#N/A</v>
      </c>
      <c r="Z246" s="286" t="e">
        <f t="shared" ca="1" si="193"/>
        <v>#N/A</v>
      </c>
      <c r="AA246" s="285">
        <f t="shared" si="194"/>
        <v>1.7647811197268851E-3</v>
      </c>
      <c r="AB246" s="99">
        <f t="shared" si="195"/>
        <v>1.789E-3</v>
      </c>
      <c r="AC246" s="99">
        <f t="shared" si="170"/>
        <v>0.98511099999999985</v>
      </c>
      <c r="AD246" s="99" t="e">
        <f t="shared" ca="1" si="196"/>
        <v>#N/A</v>
      </c>
      <c r="AE246" s="161" t="e">
        <f t="shared" ca="1" si="171"/>
        <v>#N/A</v>
      </c>
      <c r="AF246" s="286" t="e">
        <f t="shared" ca="1" si="197"/>
        <v>#N/A</v>
      </c>
      <c r="AG246" s="285">
        <f t="shared" si="198"/>
        <v>4.9901091575900816E-4</v>
      </c>
      <c r="AH246" s="99">
        <f t="shared" si="199"/>
        <v>5.0000000000000001E-4</v>
      </c>
      <c r="AI246" s="99">
        <f t="shared" si="172"/>
        <v>0.99654799999999988</v>
      </c>
      <c r="AJ246" s="99" t="e">
        <f t="shared" ca="1" si="200"/>
        <v>#N/A</v>
      </c>
      <c r="AK246" s="161" t="e">
        <f t="shared" ca="1" si="173"/>
        <v>#N/A</v>
      </c>
      <c r="AL246" s="286" t="e">
        <f t="shared" ca="1" si="201"/>
        <v>#N/A</v>
      </c>
      <c r="AM246" s="285">
        <f t="shared" si="202"/>
        <v>5.2054152665037458E-4</v>
      </c>
      <c r="AN246" s="99">
        <f t="shared" si="203"/>
        <v>5.2099999999999998E-4</v>
      </c>
      <c r="AO246" s="99">
        <f t="shared" si="174"/>
        <v>0.99649500000000002</v>
      </c>
      <c r="AP246" s="99" t="e">
        <f t="shared" ca="1" si="204"/>
        <v>#N/A</v>
      </c>
      <c r="AQ246" s="161" t="e">
        <f t="shared" ca="1" si="175"/>
        <v>#N/A</v>
      </c>
      <c r="AR246" s="286" t="e">
        <f t="shared" ca="1" si="205"/>
        <v>#N/A</v>
      </c>
      <c r="AS246" s="285">
        <f t="shared" si="206"/>
        <v>1.7775177288781446E-4</v>
      </c>
      <c r="AT246" s="99">
        <f t="shared" si="207"/>
        <v>1.7799999999999999E-4</v>
      </c>
      <c r="AU246" s="99">
        <f t="shared" si="176"/>
        <v>0.99886400000000009</v>
      </c>
      <c r="AV246" s="99" t="e">
        <f t="shared" ca="1" si="208"/>
        <v>#N/A</v>
      </c>
      <c r="AW246" s="161" t="e">
        <f t="shared" ca="1" si="177"/>
        <v>#N/A</v>
      </c>
      <c r="AX246" s="286" t="e">
        <f t="shared" ca="1" si="209"/>
        <v>#N/A</v>
      </c>
    </row>
    <row r="247" spans="2:86" x14ac:dyDescent="0.25">
      <c r="B247" s="104">
        <f t="shared" si="164"/>
        <v>47</v>
      </c>
      <c r="C247" s="94">
        <v>48</v>
      </c>
      <c r="D247" s="94">
        <f t="shared" si="180"/>
        <v>7.6646694369294482E-5</v>
      </c>
      <c r="E247" s="94">
        <f t="shared" si="181"/>
        <v>7.7000000000000001E-5</v>
      </c>
      <c r="F247" s="94">
        <f t="shared" si="165"/>
        <v>0.99955699999999992</v>
      </c>
      <c r="G247" s="94" t="e">
        <f t="shared" ca="1" si="182"/>
        <v>#N/A</v>
      </c>
      <c r="H247" s="94" t="e">
        <f t="shared" ca="1" si="183"/>
        <v>#N/A</v>
      </c>
      <c r="I247" s="161" t="e">
        <f t="shared" ca="1" si="179"/>
        <v>#N/A</v>
      </c>
      <c r="J247" s="156" t="e">
        <f t="shared" ca="1" si="178"/>
        <v>#N/A</v>
      </c>
      <c r="K247" s="160" t="e">
        <f t="shared" ca="1" si="161"/>
        <v>#N/A</v>
      </c>
      <c r="L247" s="101" t="e">
        <f t="shared" ca="1" si="184"/>
        <v>#N/A</v>
      </c>
      <c r="M247" s="101" t="e">
        <f t="shared" ca="1" si="185"/>
        <v>#N/A</v>
      </c>
      <c r="N247" s="101" t="e">
        <f t="shared" ca="1" si="162"/>
        <v>#N/A</v>
      </c>
      <c r="O247" s="285">
        <f t="shared" si="186"/>
        <v>7.6646694369294482E-5</v>
      </c>
      <c r="P247" s="99">
        <f t="shared" si="187"/>
        <v>7.7000000000000001E-5</v>
      </c>
      <c r="Q247" s="99">
        <f t="shared" si="166"/>
        <v>0.99955699999999992</v>
      </c>
      <c r="R247" s="99" t="e">
        <f t="shared" ca="1" si="188"/>
        <v>#N/A</v>
      </c>
      <c r="S247" s="161" t="e">
        <f t="shared" ca="1" si="167"/>
        <v>#N/A</v>
      </c>
      <c r="T247" s="286" t="e">
        <f t="shared" ca="1" si="189"/>
        <v>#N/A</v>
      </c>
      <c r="U247" s="285">
        <f t="shared" si="190"/>
        <v>5.1308911351285559E-7</v>
      </c>
      <c r="V247" s="99">
        <f t="shared" si="191"/>
        <v>9.9999999999999995E-7</v>
      </c>
      <c r="W247" s="99">
        <f t="shared" si="168"/>
        <v>0.99999999999999989</v>
      </c>
      <c r="X247" s="99" t="e">
        <f t="shared" ca="1" si="192"/>
        <v>#N/A</v>
      </c>
      <c r="Y247" s="161" t="e">
        <f t="shared" ca="1" si="169"/>
        <v>#N/A</v>
      </c>
      <c r="Z247" s="286" t="e">
        <f t="shared" ca="1" si="193"/>
        <v>#N/A</v>
      </c>
      <c r="AA247" s="285">
        <f t="shared" si="194"/>
        <v>1.643686310354307E-3</v>
      </c>
      <c r="AB247" s="99">
        <f t="shared" si="195"/>
        <v>1.6659999999999999E-3</v>
      </c>
      <c r="AC247" s="99">
        <f t="shared" si="170"/>
        <v>0.98677699999999979</v>
      </c>
      <c r="AD247" s="99" t="e">
        <f t="shared" ca="1" si="196"/>
        <v>#N/A</v>
      </c>
      <c r="AE247" s="161" t="e">
        <f t="shared" ca="1" si="171"/>
        <v>#N/A</v>
      </c>
      <c r="AF247" s="286" t="e">
        <f t="shared" ca="1" si="197"/>
        <v>#N/A</v>
      </c>
      <c r="AG247" s="285">
        <f t="shared" si="198"/>
        <v>4.4970088063734162E-4</v>
      </c>
      <c r="AH247" s="99">
        <f t="shared" si="199"/>
        <v>4.4999999999999999E-4</v>
      </c>
      <c r="AI247" s="99">
        <f t="shared" si="172"/>
        <v>0.99699799999999983</v>
      </c>
      <c r="AJ247" s="99" t="e">
        <f t="shared" ca="1" si="200"/>
        <v>#N/A</v>
      </c>
      <c r="AK247" s="161" t="e">
        <f t="shared" ca="1" si="173"/>
        <v>#N/A</v>
      </c>
      <c r="AL247" s="286" t="e">
        <f t="shared" ca="1" si="201"/>
        <v>#N/A</v>
      </c>
      <c r="AM247" s="285">
        <f t="shared" si="202"/>
        <v>4.6688239861926255E-4</v>
      </c>
      <c r="AN247" s="99">
        <f t="shared" si="203"/>
        <v>4.6799999999999999E-4</v>
      </c>
      <c r="AO247" s="99">
        <f t="shared" si="174"/>
        <v>0.99696300000000004</v>
      </c>
      <c r="AP247" s="99" t="e">
        <f t="shared" ca="1" si="204"/>
        <v>#N/A</v>
      </c>
      <c r="AQ247" s="161" t="e">
        <f t="shared" ca="1" si="175"/>
        <v>#N/A</v>
      </c>
      <c r="AR247" s="286" t="e">
        <f t="shared" ca="1" si="205"/>
        <v>#N/A</v>
      </c>
      <c r="AS247" s="285">
        <f t="shared" si="206"/>
        <v>1.5782715614770973E-4</v>
      </c>
      <c r="AT247" s="99">
        <f t="shared" si="207"/>
        <v>1.5799999999999999E-4</v>
      </c>
      <c r="AU247" s="99">
        <f t="shared" si="176"/>
        <v>0.99902200000000008</v>
      </c>
      <c r="AV247" s="99" t="e">
        <f t="shared" ca="1" si="208"/>
        <v>#N/A</v>
      </c>
      <c r="AW247" s="161" t="e">
        <f t="shared" ca="1" si="177"/>
        <v>#N/A</v>
      </c>
      <c r="AX247" s="286" t="e">
        <f t="shared" ca="1" si="209"/>
        <v>#N/A</v>
      </c>
      <c r="CD247"/>
      <c r="CE247"/>
      <c r="CG247" s="77"/>
      <c r="CH247" s="94"/>
    </row>
    <row r="248" spans="2:86" x14ac:dyDescent="0.25">
      <c r="B248" s="104">
        <f t="shared" si="164"/>
        <v>48</v>
      </c>
      <c r="C248" s="94">
        <v>49</v>
      </c>
      <c r="D248" s="94">
        <f t="shared" si="180"/>
        <v>6.7227272004677989E-5</v>
      </c>
      <c r="E248" s="94">
        <f t="shared" si="181"/>
        <v>6.7000000000000002E-5</v>
      </c>
      <c r="F248" s="94">
        <f t="shared" si="165"/>
        <v>0.99962399999999996</v>
      </c>
      <c r="G248" s="94" t="e">
        <f t="shared" ca="1" si="182"/>
        <v>#N/A</v>
      </c>
      <c r="H248" s="94" t="e">
        <f t="shared" ca="1" si="183"/>
        <v>#N/A</v>
      </c>
      <c r="I248" s="161" t="e">
        <f t="shared" ca="1" si="179"/>
        <v>#N/A</v>
      </c>
      <c r="J248" s="156" t="e">
        <f t="shared" ca="1" si="178"/>
        <v>#N/A</v>
      </c>
      <c r="K248" s="160" t="e">
        <f t="shared" ca="1" si="161"/>
        <v>#N/A</v>
      </c>
      <c r="L248" s="101" t="e">
        <f t="shared" ca="1" si="184"/>
        <v>#N/A</v>
      </c>
      <c r="M248" s="101" t="e">
        <f t="shared" ca="1" si="185"/>
        <v>#N/A</v>
      </c>
      <c r="N248" s="101" t="e">
        <f t="shared" ca="1" si="162"/>
        <v>#N/A</v>
      </c>
      <c r="O248" s="285">
        <f t="shared" si="186"/>
        <v>6.7227272004677989E-5</v>
      </c>
      <c r="P248" s="99">
        <f t="shared" si="187"/>
        <v>6.7000000000000002E-5</v>
      </c>
      <c r="Q248" s="99">
        <f t="shared" si="166"/>
        <v>0.99962399999999996</v>
      </c>
      <c r="R248" s="99" t="e">
        <f t="shared" ca="1" si="188"/>
        <v>#N/A</v>
      </c>
      <c r="S248" s="161" t="e">
        <f t="shared" ca="1" si="167"/>
        <v>#N/A</v>
      </c>
      <c r="T248" s="286" t="e">
        <f t="shared" ca="1" si="189"/>
        <v>#N/A</v>
      </c>
      <c r="U248" s="285">
        <f t="shared" si="190"/>
        <v>4.1525818422143559E-7</v>
      </c>
      <c r="V248" s="99">
        <f t="shared" si="191"/>
        <v>9.9999999999999995E-7</v>
      </c>
      <c r="W248" s="99">
        <f t="shared" si="168"/>
        <v>1.0000009999999999</v>
      </c>
      <c r="X248" s="99" t="e">
        <f t="shared" ca="1" si="192"/>
        <v>#N/A</v>
      </c>
      <c r="Y248" s="161" t="e">
        <f t="shared" ca="1" si="169"/>
        <v>#N/A</v>
      </c>
      <c r="Z248" s="286" t="e">
        <f t="shared" ca="1" si="193"/>
        <v>#N/A</v>
      </c>
      <c r="AA248" s="285">
        <f t="shared" si="194"/>
        <v>1.5321226026899946E-3</v>
      </c>
      <c r="AB248" s="99">
        <f t="shared" si="195"/>
        <v>1.5529999999999999E-3</v>
      </c>
      <c r="AC248" s="99">
        <f t="shared" si="170"/>
        <v>0.98832999999999982</v>
      </c>
      <c r="AD248" s="99" t="e">
        <f t="shared" ca="1" si="196"/>
        <v>#N/A</v>
      </c>
      <c r="AE248" s="161" t="e">
        <f t="shared" ca="1" si="171"/>
        <v>#N/A</v>
      </c>
      <c r="AF248" s="286" t="e">
        <f t="shared" ca="1" si="197"/>
        <v>#N/A</v>
      </c>
      <c r="AG248" s="285">
        <f t="shared" si="198"/>
        <v>4.0572358512178222E-4</v>
      </c>
      <c r="AH248" s="99">
        <f t="shared" si="199"/>
        <v>4.06E-4</v>
      </c>
      <c r="AI248" s="99">
        <f t="shared" si="172"/>
        <v>0.99740399999999985</v>
      </c>
      <c r="AJ248" s="99" t="e">
        <f t="shared" ca="1" si="200"/>
        <v>#N/A</v>
      </c>
      <c r="AK248" s="161" t="e">
        <f t="shared" ca="1" si="173"/>
        <v>#N/A</v>
      </c>
      <c r="AL248" s="286" t="e">
        <f t="shared" ca="1" si="201"/>
        <v>#N/A</v>
      </c>
      <c r="AM248" s="285">
        <f t="shared" si="202"/>
        <v>4.1922322195960378E-4</v>
      </c>
      <c r="AN248" s="99">
        <f t="shared" si="203"/>
        <v>4.2000000000000002E-4</v>
      </c>
      <c r="AO248" s="99">
        <f t="shared" si="174"/>
        <v>0.99738300000000002</v>
      </c>
      <c r="AP248" s="99" t="e">
        <f t="shared" ca="1" si="204"/>
        <v>#N/A</v>
      </c>
      <c r="AQ248" s="161" t="e">
        <f t="shared" ca="1" si="175"/>
        <v>#N/A</v>
      </c>
      <c r="AR248" s="286" t="e">
        <f t="shared" ca="1" si="205"/>
        <v>#N/A</v>
      </c>
      <c r="AS248" s="285">
        <f t="shared" si="206"/>
        <v>1.4033076680997531E-4</v>
      </c>
      <c r="AT248" s="99">
        <f t="shared" si="207"/>
        <v>1.3999999999999999E-4</v>
      </c>
      <c r="AU248" s="99">
        <f t="shared" si="176"/>
        <v>0.99916200000000011</v>
      </c>
      <c r="AV248" s="99" t="e">
        <f t="shared" ca="1" si="208"/>
        <v>#N/A</v>
      </c>
      <c r="AW248" s="161" t="e">
        <f t="shared" ca="1" si="177"/>
        <v>#N/A</v>
      </c>
      <c r="AX248" s="286" t="e">
        <f t="shared" ca="1" si="209"/>
        <v>#N/A</v>
      </c>
      <c r="CD248"/>
      <c r="CE248"/>
      <c r="CG248" s="77"/>
      <c r="CH248" s="94"/>
    </row>
    <row r="249" spans="2:86" x14ac:dyDescent="0.25">
      <c r="B249" s="104">
        <f t="shared" si="164"/>
        <v>49</v>
      </c>
      <c r="C249" s="94">
        <v>50</v>
      </c>
      <c r="D249" s="94">
        <f t="shared" si="180"/>
        <v>5.9055141357435776E-5</v>
      </c>
      <c r="E249" s="94">
        <f t="shared" si="181"/>
        <v>5.8999999999999998E-5</v>
      </c>
      <c r="F249" s="94">
        <f t="shared" si="165"/>
        <v>0.99968299999999999</v>
      </c>
      <c r="G249" s="94" t="e">
        <f t="shared" ca="1" si="182"/>
        <v>#N/A</v>
      </c>
      <c r="H249" s="94" t="e">
        <f t="shared" ca="1" si="183"/>
        <v>#N/A</v>
      </c>
      <c r="I249" s="161" t="e">
        <f t="shared" ca="1" si="179"/>
        <v>#N/A</v>
      </c>
      <c r="J249" s="156" t="e">
        <f t="shared" ca="1" si="178"/>
        <v>#N/A</v>
      </c>
      <c r="K249" s="160" t="e">
        <f t="shared" ca="1" si="161"/>
        <v>#N/A</v>
      </c>
      <c r="L249" s="101" t="e">
        <f t="shared" ca="1" si="184"/>
        <v>#N/A</v>
      </c>
      <c r="M249" s="101" t="e">
        <f t="shared" ca="1" si="185"/>
        <v>#N/A</v>
      </c>
      <c r="N249" s="101" t="e">
        <f t="shared" ca="1" si="162"/>
        <v>#N/A</v>
      </c>
      <c r="O249" s="285">
        <f t="shared" si="186"/>
        <v>5.9055141357435776E-5</v>
      </c>
      <c r="P249" s="99">
        <f t="shared" si="187"/>
        <v>5.8999999999999998E-5</v>
      </c>
      <c r="Q249" s="99">
        <f t="shared" si="166"/>
        <v>0.99968299999999999</v>
      </c>
      <c r="R249" s="99" t="e">
        <f t="shared" ca="1" si="188"/>
        <v>#N/A</v>
      </c>
      <c r="S249" s="161" t="e">
        <f t="shared" ca="1" si="167"/>
        <v>#N/A</v>
      </c>
      <c r="T249" s="286" t="e">
        <f t="shared" ca="1" si="189"/>
        <v>#N/A</v>
      </c>
      <c r="U249" s="285">
        <f t="shared" si="190"/>
        <v>3.3695197060836401E-7</v>
      </c>
      <c r="V249" s="99">
        <f t="shared" si="191"/>
        <v>9.9999999999999995E-7</v>
      </c>
      <c r="W249" s="99">
        <f t="shared" si="168"/>
        <v>1.0000019999999998</v>
      </c>
      <c r="X249" s="99" t="e">
        <f t="shared" ca="1" si="192"/>
        <v>#N/A</v>
      </c>
      <c r="Y249" s="161" t="e">
        <f t="shared" ca="1" si="169"/>
        <v>#N/A</v>
      </c>
      <c r="Z249" s="286" t="e">
        <f t="shared" ca="1" si="193"/>
        <v>#N/A</v>
      </c>
      <c r="AA249" s="285">
        <f t="shared" si="194"/>
        <v>1.4292440533123691E-3</v>
      </c>
      <c r="AB249" s="99">
        <f t="shared" si="195"/>
        <v>1.449E-3</v>
      </c>
      <c r="AC249" s="99">
        <f t="shared" si="170"/>
        <v>0.98977899999999985</v>
      </c>
      <c r="AD249" s="99" t="e">
        <f t="shared" ca="1" si="196"/>
        <v>#N/A</v>
      </c>
      <c r="AE249" s="161" t="e">
        <f t="shared" ca="1" si="171"/>
        <v>#N/A</v>
      </c>
      <c r="AF249" s="286" t="e">
        <f t="shared" ca="1" si="197"/>
        <v>#N/A</v>
      </c>
      <c r="AG249" s="285">
        <f t="shared" si="198"/>
        <v>3.6645314999268026E-4</v>
      </c>
      <c r="AH249" s="99">
        <f t="shared" si="199"/>
        <v>3.6699999999999998E-4</v>
      </c>
      <c r="AI249" s="99">
        <f t="shared" si="172"/>
        <v>0.99777099999999985</v>
      </c>
      <c r="AJ249" s="99" t="e">
        <f t="shared" ca="1" si="200"/>
        <v>#N/A</v>
      </c>
      <c r="AK249" s="161" t="e">
        <f t="shared" ca="1" si="173"/>
        <v>#N/A</v>
      </c>
      <c r="AL249" s="286" t="e">
        <f t="shared" ca="1" si="201"/>
        <v>#N/A</v>
      </c>
      <c r="AM249" s="285">
        <f t="shared" si="202"/>
        <v>3.7684175326823896E-4</v>
      </c>
      <c r="AN249" s="99">
        <f t="shared" si="203"/>
        <v>3.77E-4</v>
      </c>
      <c r="AO249" s="99">
        <f t="shared" si="174"/>
        <v>0.99775999999999998</v>
      </c>
      <c r="AP249" s="99" t="e">
        <f t="shared" ca="1" si="204"/>
        <v>#N/A</v>
      </c>
      <c r="AQ249" s="161" t="e">
        <f t="shared" ca="1" si="175"/>
        <v>#N/A</v>
      </c>
      <c r="AR249" s="286" t="e">
        <f t="shared" ca="1" si="205"/>
        <v>#N/A</v>
      </c>
      <c r="AS249" s="285">
        <f t="shared" si="206"/>
        <v>1.2494310279752971E-4</v>
      </c>
      <c r="AT249" s="99">
        <f t="shared" si="207"/>
        <v>1.25E-4</v>
      </c>
      <c r="AU249" s="99">
        <f t="shared" si="176"/>
        <v>0.99928700000000015</v>
      </c>
      <c r="AV249" s="99" t="e">
        <f t="shared" ca="1" si="208"/>
        <v>#N/A</v>
      </c>
      <c r="AW249" s="161" t="e">
        <f t="shared" ca="1" si="177"/>
        <v>#N/A</v>
      </c>
      <c r="AX249" s="286" t="e">
        <f t="shared" ca="1" si="209"/>
        <v>#N/A</v>
      </c>
      <c r="CD249"/>
      <c r="CE249"/>
      <c r="CG249" s="77"/>
      <c r="CH249" s="94"/>
    </row>
    <row r="250" spans="2:86" x14ac:dyDescent="0.25">
      <c r="B250" s="104">
        <f t="shared" si="164"/>
        <v>50</v>
      </c>
      <c r="C250" s="94">
        <v>51</v>
      </c>
      <c r="D250" s="94">
        <f t="shared" si="180"/>
        <v>5.1953351781703196E-5</v>
      </c>
      <c r="E250" s="94">
        <f t="shared" si="181"/>
        <v>5.1999999999999997E-5</v>
      </c>
      <c r="F250" s="94">
        <f t="shared" si="165"/>
        <v>0.99973500000000004</v>
      </c>
      <c r="G250" s="94" t="e">
        <f t="shared" ca="1" si="182"/>
        <v>#N/A</v>
      </c>
      <c r="H250" s="94" t="e">
        <f t="shared" ca="1" si="183"/>
        <v>#N/A</v>
      </c>
      <c r="I250" s="161" t="e">
        <f t="shared" ca="1" si="179"/>
        <v>#N/A</v>
      </c>
      <c r="J250" s="156" t="e">
        <f t="shared" ca="1" si="178"/>
        <v>#N/A</v>
      </c>
      <c r="K250" s="160" t="e">
        <f t="shared" ca="1" si="161"/>
        <v>#N/A</v>
      </c>
      <c r="L250" s="101" t="e">
        <f t="shared" ca="1" si="184"/>
        <v>#N/A</v>
      </c>
      <c r="M250" s="101" t="e">
        <f t="shared" ca="1" si="185"/>
        <v>#N/A</v>
      </c>
      <c r="N250" s="101" t="e">
        <f t="shared" ca="1" si="162"/>
        <v>#N/A</v>
      </c>
      <c r="O250" s="285">
        <f t="shared" si="186"/>
        <v>5.1953351781703196E-5</v>
      </c>
      <c r="P250" s="99">
        <f t="shared" si="187"/>
        <v>5.1999999999999997E-5</v>
      </c>
      <c r="Q250" s="99">
        <f t="shared" si="166"/>
        <v>0.99973500000000004</v>
      </c>
      <c r="R250" s="99" t="e">
        <f t="shared" ca="1" si="188"/>
        <v>#N/A</v>
      </c>
      <c r="S250" s="161" t="e">
        <f t="shared" ca="1" si="167"/>
        <v>#N/A</v>
      </c>
      <c r="T250" s="286" t="e">
        <f t="shared" ca="1" si="189"/>
        <v>#N/A</v>
      </c>
      <c r="U250" s="285">
        <f t="shared" si="190"/>
        <v>2.7410187959883153E-7</v>
      </c>
      <c r="V250" s="99">
        <f t="shared" si="191"/>
        <v>9.9999999999999995E-7</v>
      </c>
      <c r="W250" s="99">
        <f t="shared" si="168"/>
        <v>1.0000029999999998</v>
      </c>
      <c r="X250" s="99" t="e">
        <f t="shared" ca="1" si="192"/>
        <v>#N/A</v>
      </c>
      <c r="Y250" s="161" t="e">
        <f t="shared" ca="1" si="169"/>
        <v>#N/A</v>
      </c>
      <c r="Z250" s="286" t="e">
        <f t="shared" ca="1" si="193"/>
        <v>#N/A</v>
      </c>
      <c r="AA250" s="285">
        <f t="shared" si="194"/>
        <v>1.3342881265058534E-3</v>
      </c>
      <c r="AB250" s="99">
        <f t="shared" si="195"/>
        <v>1.353E-3</v>
      </c>
      <c r="AC250" s="99">
        <f t="shared" si="170"/>
        <v>0.9911319999999999</v>
      </c>
      <c r="AD250" s="99" t="e">
        <f t="shared" ca="1" si="196"/>
        <v>#N/A</v>
      </c>
      <c r="AE250" s="161" t="e">
        <f t="shared" ca="1" si="171"/>
        <v>#N/A</v>
      </c>
      <c r="AF250" s="286" t="e">
        <f t="shared" ca="1" si="197"/>
        <v>#N/A</v>
      </c>
      <c r="AG250" s="285">
        <f t="shared" si="198"/>
        <v>3.313427969764005E-4</v>
      </c>
      <c r="AH250" s="99">
        <f t="shared" si="199"/>
        <v>3.3199999999999999E-4</v>
      </c>
      <c r="AI250" s="99">
        <f t="shared" si="172"/>
        <v>0.99810299999999985</v>
      </c>
      <c r="AJ250" s="99" t="e">
        <f t="shared" ca="1" si="200"/>
        <v>#N/A</v>
      </c>
      <c r="AK250" s="161" t="e">
        <f t="shared" ca="1" si="173"/>
        <v>#N/A</v>
      </c>
      <c r="AL250" s="286" t="e">
        <f t="shared" ca="1" si="201"/>
        <v>#N/A</v>
      </c>
      <c r="AM250" s="285">
        <f t="shared" si="202"/>
        <v>3.3910867561748082E-4</v>
      </c>
      <c r="AN250" s="99">
        <f t="shared" si="203"/>
        <v>3.4000000000000002E-4</v>
      </c>
      <c r="AO250" s="99">
        <f t="shared" si="174"/>
        <v>0.99809999999999999</v>
      </c>
      <c r="AP250" s="99" t="e">
        <f t="shared" ca="1" si="204"/>
        <v>#N/A</v>
      </c>
      <c r="AQ250" s="161" t="e">
        <f t="shared" ca="1" si="175"/>
        <v>#N/A</v>
      </c>
      <c r="AR250" s="286" t="e">
        <f t="shared" ca="1" si="205"/>
        <v>#N/A</v>
      </c>
      <c r="AS250" s="285">
        <f t="shared" si="206"/>
        <v>1.1138976292554754E-4</v>
      </c>
      <c r="AT250" s="99">
        <f t="shared" si="207"/>
        <v>1.11E-4</v>
      </c>
      <c r="AU250" s="99">
        <f t="shared" si="176"/>
        <v>0.99939800000000012</v>
      </c>
      <c r="AV250" s="99" t="e">
        <f t="shared" ca="1" si="208"/>
        <v>#N/A</v>
      </c>
      <c r="AW250" s="161" t="e">
        <f t="shared" ca="1" si="177"/>
        <v>#N/A</v>
      </c>
      <c r="AX250" s="286" t="e">
        <f t="shared" ca="1" si="209"/>
        <v>#N/A</v>
      </c>
      <c r="CD250"/>
      <c r="CE250"/>
      <c r="CG250" s="77"/>
      <c r="CH250" s="94"/>
    </row>
    <row r="251" spans="2:86" x14ac:dyDescent="0.25">
      <c r="B251" s="104">
        <f t="shared" si="164"/>
        <v>51</v>
      </c>
      <c r="C251" s="94">
        <v>52</v>
      </c>
      <c r="D251" s="94">
        <f t="shared" si="180"/>
        <v>4.5771708486074217E-5</v>
      </c>
      <c r="E251" s="94">
        <f t="shared" si="181"/>
        <v>4.6E-5</v>
      </c>
      <c r="F251" s="94">
        <f t="shared" si="165"/>
        <v>0.99978100000000003</v>
      </c>
      <c r="G251" s="94" t="e">
        <f t="shared" ca="1" si="182"/>
        <v>#N/A</v>
      </c>
      <c r="H251" s="94" t="e">
        <f t="shared" ca="1" si="183"/>
        <v>#N/A</v>
      </c>
      <c r="I251" s="161" t="e">
        <f t="shared" ca="1" si="179"/>
        <v>#N/A</v>
      </c>
      <c r="J251" s="156" t="e">
        <f t="shared" ca="1" si="178"/>
        <v>#N/A</v>
      </c>
      <c r="K251" s="160" t="e">
        <f t="shared" ca="1" si="161"/>
        <v>#N/A</v>
      </c>
      <c r="L251" s="101" t="e">
        <f t="shared" ca="1" si="184"/>
        <v>#N/A</v>
      </c>
      <c r="M251" s="101" t="e">
        <f t="shared" ca="1" si="185"/>
        <v>#N/A</v>
      </c>
      <c r="N251" s="101" t="e">
        <f t="shared" ca="1" si="162"/>
        <v>#N/A</v>
      </c>
      <c r="O251" s="285">
        <f t="shared" si="186"/>
        <v>4.5771708486074217E-5</v>
      </c>
      <c r="P251" s="99">
        <f t="shared" si="187"/>
        <v>4.6E-5</v>
      </c>
      <c r="Q251" s="99">
        <f t="shared" si="166"/>
        <v>0.99978100000000003</v>
      </c>
      <c r="R251" s="99" t="e">
        <f t="shared" ca="1" si="188"/>
        <v>#N/A</v>
      </c>
      <c r="S251" s="161" t="e">
        <f t="shared" ca="1" si="167"/>
        <v>#N/A</v>
      </c>
      <c r="T251" s="286" t="e">
        <f t="shared" ca="1" si="189"/>
        <v>#N/A</v>
      </c>
      <c r="U251" s="285">
        <f t="shared" si="190"/>
        <v>2.2352250708884594E-7</v>
      </c>
      <c r="V251" s="99">
        <f t="shared" si="191"/>
        <v>9.9999999999999995E-7</v>
      </c>
      <c r="W251" s="99">
        <f t="shared" si="168"/>
        <v>1.0000039999999997</v>
      </c>
      <c r="X251" s="99" t="e">
        <f t="shared" ca="1" si="192"/>
        <v>#N/A</v>
      </c>
      <c r="Y251" s="161" t="e">
        <f t="shared" ca="1" si="169"/>
        <v>#N/A</v>
      </c>
      <c r="Z251" s="286" t="e">
        <f t="shared" ca="1" si="193"/>
        <v>#N/A</v>
      </c>
      <c r="AA251" s="285">
        <f t="shared" si="194"/>
        <v>1.246566681355186E-3</v>
      </c>
      <c r="AB251" s="99">
        <f t="shared" si="195"/>
        <v>1.2639999999999999E-3</v>
      </c>
      <c r="AC251" s="99">
        <f t="shared" si="170"/>
        <v>0.99239599999999994</v>
      </c>
      <c r="AD251" s="99" t="e">
        <f t="shared" ca="1" si="196"/>
        <v>#N/A</v>
      </c>
      <c r="AE251" s="161" t="e">
        <f t="shared" ca="1" si="171"/>
        <v>#N/A</v>
      </c>
      <c r="AF251" s="286" t="e">
        <f t="shared" ca="1" si="197"/>
        <v>#N/A</v>
      </c>
      <c r="AG251" s="285">
        <f t="shared" si="198"/>
        <v>2.9991416138602794E-4</v>
      </c>
      <c r="AH251" s="99">
        <f t="shared" si="199"/>
        <v>2.9999999999999997E-4</v>
      </c>
      <c r="AI251" s="99">
        <f t="shared" si="172"/>
        <v>0.99840299999999982</v>
      </c>
      <c r="AJ251" s="99" t="e">
        <f t="shared" ca="1" si="200"/>
        <v>#N/A</v>
      </c>
      <c r="AK251" s="161" t="e">
        <f t="shared" ca="1" si="173"/>
        <v>#N/A</v>
      </c>
      <c r="AL251" s="286" t="e">
        <f t="shared" ca="1" si="201"/>
        <v>#N/A</v>
      </c>
      <c r="AM251" s="285">
        <f t="shared" si="202"/>
        <v>3.0547490742817435E-4</v>
      </c>
      <c r="AN251" s="99">
        <f t="shared" si="203"/>
        <v>3.0600000000000001E-4</v>
      </c>
      <c r="AO251" s="99">
        <f t="shared" si="174"/>
        <v>0.99840600000000002</v>
      </c>
      <c r="AP251" s="99" t="e">
        <f t="shared" ca="1" si="204"/>
        <v>#N/A</v>
      </c>
      <c r="AQ251" s="161" t="e">
        <f t="shared" ca="1" si="175"/>
        <v>#N/A</v>
      </c>
      <c r="AR251" s="286" t="e">
        <f t="shared" ca="1" si="205"/>
        <v>#N/A</v>
      </c>
      <c r="AS251" s="285">
        <f t="shared" si="206"/>
        <v>9.9434656347357226E-5</v>
      </c>
      <c r="AT251" s="99">
        <f t="shared" si="207"/>
        <v>9.8999999999999994E-5</v>
      </c>
      <c r="AU251" s="99">
        <f t="shared" si="176"/>
        <v>0.99949700000000008</v>
      </c>
      <c r="AV251" s="99" t="e">
        <f t="shared" ca="1" si="208"/>
        <v>#N/A</v>
      </c>
      <c r="AW251" s="161" t="e">
        <f t="shared" ca="1" si="177"/>
        <v>#N/A</v>
      </c>
      <c r="AX251" s="286" t="e">
        <f t="shared" ca="1" si="209"/>
        <v>#N/A</v>
      </c>
      <c r="CD251"/>
      <c r="CE251"/>
      <c r="CG251" s="77"/>
      <c r="CH251" s="94"/>
    </row>
    <row r="252" spans="2:86" x14ac:dyDescent="0.25">
      <c r="B252" s="104">
        <f t="shared" si="164"/>
        <v>52</v>
      </c>
      <c r="C252" s="94">
        <v>53</v>
      </c>
      <c r="D252" s="94">
        <f t="shared" si="180"/>
        <v>4.038248114819377E-5</v>
      </c>
      <c r="E252" s="94">
        <f t="shared" si="181"/>
        <v>4.0000000000000003E-5</v>
      </c>
      <c r="F252" s="94">
        <f t="shared" si="165"/>
        <v>0.99982100000000007</v>
      </c>
      <c r="G252" s="94" t="e">
        <f t="shared" ca="1" si="182"/>
        <v>#N/A</v>
      </c>
      <c r="H252" s="94" t="e">
        <f t="shared" ca="1" si="183"/>
        <v>#N/A</v>
      </c>
      <c r="I252" s="161" t="e">
        <f t="shared" ca="1" si="179"/>
        <v>#N/A</v>
      </c>
      <c r="J252" s="156" t="e">
        <f t="shared" ca="1" si="178"/>
        <v>#N/A</v>
      </c>
      <c r="K252" s="160" t="e">
        <f t="shared" ca="1" si="161"/>
        <v>#N/A</v>
      </c>
      <c r="L252" s="101" t="e">
        <f t="shared" ca="1" si="184"/>
        <v>#N/A</v>
      </c>
      <c r="M252" s="101" t="e">
        <f t="shared" ca="1" si="185"/>
        <v>#N/A</v>
      </c>
      <c r="N252" s="101" t="e">
        <f t="shared" ca="1" si="162"/>
        <v>#N/A</v>
      </c>
      <c r="O252" s="285">
        <f t="shared" si="186"/>
        <v>4.038248114819377E-5</v>
      </c>
      <c r="P252" s="99">
        <f t="shared" si="187"/>
        <v>4.0000000000000003E-5</v>
      </c>
      <c r="Q252" s="99">
        <f t="shared" si="166"/>
        <v>0.99982100000000007</v>
      </c>
      <c r="R252" s="99" t="e">
        <f t="shared" ca="1" si="188"/>
        <v>#N/A</v>
      </c>
      <c r="S252" s="161" t="e">
        <f t="shared" ca="1" si="167"/>
        <v>#N/A</v>
      </c>
      <c r="T252" s="286" t="e">
        <f t="shared" ca="1" si="189"/>
        <v>#N/A</v>
      </c>
      <c r="U252" s="285">
        <f t="shared" si="190"/>
        <v>1.8271235104448112E-7</v>
      </c>
      <c r="V252" s="99">
        <f t="shared" si="191"/>
        <v>9.9999999999999995E-7</v>
      </c>
      <c r="W252" s="99">
        <f t="shared" si="168"/>
        <v>1.0000049999999996</v>
      </c>
      <c r="X252" s="99" t="e">
        <f t="shared" ca="1" si="192"/>
        <v>#N/A</v>
      </c>
      <c r="Y252" s="161" t="e">
        <f t="shared" ca="1" si="169"/>
        <v>#N/A</v>
      </c>
      <c r="Z252" s="286" t="e">
        <f t="shared" ca="1" si="193"/>
        <v>#N/A</v>
      </c>
      <c r="AA252" s="285">
        <f t="shared" si="194"/>
        <v>1.1654580128036783E-3</v>
      </c>
      <c r="AB252" s="99">
        <f t="shared" si="195"/>
        <v>1.181E-3</v>
      </c>
      <c r="AC252" s="99">
        <f t="shared" si="170"/>
        <v>0.99357699999999993</v>
      </c>
      <c r="AD252" s="99" t="e">
        <f t="shared" ca="1" si="196"/>
        <v>#N/A</v>
      </c>
      <c r="AE252" s="161" t="e">
        <f t="shared" ca="1" si="171"/>
        <v>#N/A</v>
      </c>
      <c r="AF252" s="286" t="e">
        <f t="shared" ca="1" si="197"/>
        <v>#N/A</v>
      </c>
      <c r="AG252" s="285">
        <f t="shared" si="198"/>
        <v>2.7174813777555088E-4</v>
      </c>
      <c r="AH252" s="99">
        <f t="shared" si="199"/>
        <v>2.72E-4</v>
      </c>
      <c r="AI252" s="99">
        <f t="shared" si="172"/>
        <v>0.99867499999999987</v>
      </c>
      <c r="AJ252" s="99" t="e">
        <f t="shared" ca="1" si="200"/>
        <v>#N/A</v>
      </c>
      <c r="AK252" s="161" t="e">
        <f t="shared" ca="1" si="173"/>
        <v>#N/A</v>
      </c>
      <c r="AL252" s="286" t="e">
        <f t="shared" ca="1" si="201"/>
        <v>#N/A</v>
      </c>
      <c r="AM252" s="285">
        <f t="shared" si="202"/>
        <v>2.7546073838424171E-4</v>
      </c>
      <c r="AN252" s="99">
        <f t="shared" si="203"/>
        <v>2.7599999999999999E-4</v>
      </c>
      <c r="AO252" s="99">
        <f t="shared" si="174"/>
        <v>0.99868200000000007</v>
      </c>
      <c r="AP252" s="99" t="e">
        <f t="shared" ca="1" si="204"/>
        <v>#N/A</v>
      </c>
      <c r="AQ252" s="161" t="e">
        <f t="shared" ca="1" si="175"/>
        <v>#N/A</v>
      </c>
      <c r="AR252" s="286" t="e">
        <f t="shared" ca="1" si="205"/>
        <v>#N/A</v>
      </c>
      <c r="AS252" s="285">
        <f t="shared" si="206"/>
        <v>8.8874296714957566E-5</v>
      </c>
      <c r="AT252" s="99">
        <f t="shared" si="207"/>
        <v>8.8999999999999995E-5</v>
      </c>
      <c r="AU252" s="99">
        <f t="shared" si="176"/>
        <v>0.99958600000000009</v>
      </c>
      <c r="AV252" s="99" t="e">
        <f t="shared" ca="1" si="208"/>
        <v>#N/A</v>
      </c>
      <c r="AW252" s="161" t="e">
        <f t="shared" ca="1" si="177"/>
        <v>#N/A</v>
      </c>
      <c r="AX252" s="286" t="e">
        <f t="shared" ca="1" si="209"/>
        <v>#N/A</v>
      </c>
      <c r="CD252"/>
      <c r="CE252"/>
      <c r="CG252" s="77"/>
      <c r="CH252" s="94"/>
    </row>
    <row r="253" spans="2:86" x14ac:dyDescent="0.25">
      <c r="B253" s="104">
        <f t="shared" si="164"/>
        <v>53</v>
      </c>
      <c r="C253" s="94">
        <v>54</v>
      </c>
      <c r="D253" s="94">
        <f t="shared" si="180"/>
        <v>3.5676839436558149E-5</v>
      </c>
      <c r="E253" s="94">
        <f t="shared" si="181"/>
        <v>3.6000000000000001E-5</v>
      </c>
      <c r="F253" s="94">
        <f t="shared" si="165"/>
        <v>0.99985700000000011</v>
      </c>
      <c r="G253" s="94" t="e">
        <f t="shared" ca="1" si="182"/>
        <v>#N/A</v>
      </c>
      <c r="H253" s="94" t="e">
        <f t="shared" ca="1" si="183"/>
        <v>#N/A</v>
      </c>
      <c r="I253" s="161" t="e">
        <f t="shared" ca="1" si="179"/>
        <v>#N/A</v>
      </c>
      <c r="J253" s="156" t="e">
        <f t="shared" ca="1" si="178"/>
        <v>#N/A</v>
      </c>
      <c r="K253" s="160" t="e">
        <f t="shared" ca="1" si="161"/>
        <v>#N/A</v>
      </c>
      <c r="L253" s="101" t="e">
        <f t="shared" ca="1" si="184"/>
        <v>#N/A</v>
      </c>
      <c r="M253" s="101" t="e">
        <f t="shared" ca="1" si="185"/>
        <v>#N/A</v>
      </c>
      <c r="N253" s="101" t="e">
        <f t="shared" ca="1" si="162"/>
        <v>#N/A</v>
      </c>
      <c r="O253" s="285">
        <f t="shared" si="186"/>
        <v>3.5676839436558149E-5</v>
      </c>
      <c r="P253" s="99">
        <f t="shared" si="187"/>
        <v>3.6000000000000001E-5</v>
      </c>
      <c r="Q253" s="99">
        <f t="shared" si="166"/>
        <v>0.99985700000000011</v>
      </c>
      <c r="R253" s="99" t="e">
        <f t="shared" ca="1" si="188"/>
        <v>#N/A</v>
      </c>
      <c r="S253" s="161" t="e">
        <f t="shared" ca="1" si="167"/>
        <v>#N/A</v>
      </c>
      <c r="T253" s="286" t="e">
        <f t="shared" ca="1" si="189"/>
        <v>#N/A</v>
      </c>
      <c r="U253" s="285">
        <f t="shared" si="190"/>
        <v>1.4970117409904668E-7</v>
      </c>
      <c r="V253" s="99">
        <f t="shared" si="191"/>
        <v>9.9999999999999995E-7</v>
      </c>
      <c r="W253" s="99">
        <f t="shared" si="168"/>
        <v>1.0000059999999995</v>
      </c>
      <c r="X253" s="99" t="e">
        <f t="shared" ca="1" si="192"/>
        <v>#N/A</v>
      </c>
      <c r="Y253" s="161" t="e">
        <f t="shared" ca="1" si="169"/>
        <v>#N/A</v>
      </c>
      <c r="Z253" s="286" t="e">
        <f t="shared" ca="1" si="193"/>
        <v>#N/A</v>
      </c>
      <c r="AA253" s="285">
        <f t="shared" si="194"/>
        <v>1.0903998149508402E-3</v>
      </c>
      <c r="AB253" s="99">
        <f t="shared" si="195"/>
        <v>1.1050000000000001E-3</v>
      </c>
      <c r="AC253" s="99">
        <f t="shared" si="170"/>
        <v>0.99468199999999996</v>
      </c>
      <c r="AD253" s="99" t="e">
        <f t="shared" ca="1" si="196"/>
        <v>#N/A</v>
      </c>
      <c r="AE253" s="161" t="e">
        <f t="shared" ca="1" si="171"/>
        <v>#N/A</v>
      </c>
      <c r="AF253" s="286" t="e">
        <f t="shared" ca="1" si="197"/>
        <v>#N/A</v>
      </c>
      <c r="AG253" s="285">
        <f t="shared" si="198"/>
        <v>2.4647702673683371E-4</v>
      </c>
      <c r="AH253" s="99">
        <f t="shared" si="199"/>
        <v>2.4699999999999999E-4</v>
      </c>
      <c r="AI253" s="99">
        <f t="shared" si="172"/>
        <v>0.99892199999999987</v>
      </c>
      <c r="AJ253" s="99" t="e">
        <f t="shared" ca="1" si="200"/>
        <v>#N/A</v>
      </c>
      <c r="AK253" s="161" t="e">
        <f t="shared" ca="1" si="173"/>
        <v>#N/A</v>
      </c>
      <c r="AL253" s="286" t="e">
        <f t="shared" ca="1" si="201"/>
        <v>#N/A</v>
      </c>
      <c r="AM253" s="285">
        <f t="shared" si="202"/>
        <v>2.486465171408115E-4</v>
      </c>
      <c r="AN253" s="99">
        <f t="shared" si="203"/>
        <v>2.4899999999999998E-4</v>
      </c>
      <c r="AO253" s="99">
        <f t="shared" si="174"/>
        <v>0.99893100000000012</v>
      </c>
      <c r="AP253" s="99" t="e">
        <f t="shared" ca="1" si="204"/>
        <v>#N/A</v>
      </c>
      <c r="AQ253" s="161" t="e">
        <f t="shared" ca="1" si="175"/>
        <v>#N/A</v>
      </c>
      <c r="AR253" s="286" t="e">
        <f t="shared" ca="1" si="205"/>
        <v>#N/A</v>
      </c>
      <c r="AS253" s="285">
        <f t="shared" si="206"/>
        <v>7.9532998134948862E-5</v>
      </c>
      <c r="AT253" s="99">
        <f t="shared" si="207"/>
        <v>8.0000000000000007E-5</v>
      </c>
      <c r="AU253" s="99">
        <f t="shared" si="176"/>
        <v>0.99966600000000005</v>
      </c>
      <c r="AV253" s="99" t="e">
        <f t="shared" ca="1" si="208"/>
        <v>#N/A</v>
      </c>
      <c r="AW253" s="161" t="e">
        <f t="shared" ca="1" si="177"/>
        <v>#N/A</v>
      </c>
      <c r="AX253" s="286" t="e">
        <f t="shared" ca="1" si="209"/>
        <v>#N/A</v>
      </c>
      <c r="CD253"/>
      <c r="CE253"/>
      <c r="CG253" s="77"/>
      <c r="CH253" s="94"/>
    </row>
    <row r="254" spans="2:86" x14ac:dyDescent="0.25">
      <c r="B254" s="104">
        <f t="shared" si="164"/>
        <v>54</v>
      </c>
      <c r="C254" s="94">
        <v>55</v>
      </c>
      <c r="D254" s="94">
        <f t="shared" si="180"/>
        <v>3.1561885933360959E-5</v>
      </c>
      <c r="E254" s="94">
        <f t="shared" si="181"/>
        <v>3.1999999999999999E-5</v>
      </c>
      <c r="F254" s="94">
        <f t="shared" si="165"/>
        <v>0.99988900000000014</v>
      </c>
      <c r="G254" s="94" t="e">
        <f t="shared" ca="1" si="182"/>
        <v>#N/A</v>
      </c>
      <c r="H254" s="94" t="e">
        <f t="shared" ca="1" si="183"/>
        <v>#N/A</v>
      </c>
      <c r="I254" s="161" t="e">
        <f t="shared" ca="1" si="179"/>
        <v>#N/A</v>
      </c>
      <c r="J254" s="156" t="e">
        <f t="shared" ca="1" si="178"/>
        <v>#N/A</v>
      </c>
      <c r="K254" s="160" t="e">
        <f t="shared" ca="1" si="161"/>
        <v>#N/A</v>
      </c>
      <c r="L254" s="101" t="e">
        <f t="shared" ca="1" si="184"/>
        <v>#N/A</v>
      </c>
      <c r="M254" s="101" t="e">
        <f t="shared" ca="1" si="185"/>
        <v>#N/A</v>
      </c>
      <c r="N254" s="101" t="e">
        <f t="shared" ca="1" si="162"/>
        <v>#N/A</v>
      </c>
      <c r="O254" s="285">
        <f t="shared" si="186"/>
        <v>3.1561885933360959E-5</v>
      </c>
      <c r="P254" s="99">
        <f t="shared" si="187"/>
        <v>3.1999999999999999E-5</v>
      </c>
      <c r="Q254" s="99">
        <f t="shared" si="166"/>
        <v>0.99988900000000014</v>
      </c>
      <c r="R254" s="99" t="e">
        <f t="shared" ca="1" si="188"/>
        <v>#N/A</v>
      </c>
      <c r="S254" s="161" t="e">
        <f t="shared" ca="1" si="167"/>
        <v>#N/A</v>
      </c>
      <c r="T254" s="286" t="e">
        <f t="shared" ca="1" si="189"/>
        <v>#N/A</v>
      </c>
      <c r="U254" s="285">
        <f t="shared" si="190"/>
        <v>1.2293270878925832E-7</v>
      </c>
      <c r="V254" s="99">
        <f t="shared" si="191"/>
        <v>9.9999999999999995E-7</v>
      </c>
      <c r="W254" s="99">
        <f t="shared" si="168"/>
        <v>1.0000069999999994</v>
      </c>
      <c r="X254" s="99" t="e">
        <f t="shared" ca="1" si="192"/>
        <v>#N/A</v>
      </c>
      <c r="Y254" s="161" t="e">
        <f t="shared" ca="1" si="169"/>
        <v>#N/A</v>
      </c>
      <c r="Z254" s="286" t="e">
        <f t="shared" ca="1" si="193"/>
        <v>#N/A</v>
      </c>
      <c r="AA254" s="285">
        <f t="shared" si="194"/>
        <v>1.0208829522263682E-3</v>
      </c>
      <c r="AB254" s="99">
        <f t="shared" si="195"/>
        <v>1.0349999999999999E-3</v>
      </c>
      <c r="AC254" s="99">
        <f t="shared" si="170"/>
        <v>0.99571699999999996</v>
      </c>
      <c r="AD254" s="99" t="e">
        <f t="shared" ca="1" si="196"/>
        <v>#N/A</v>
      </c>
      <c r="AE254" s="161" t="e">
        <f t="shared" ca="1" si="171"/>
        <v>#N/A</v>
      </c>
      <c r="AF254" s="286" t="e">
        <f t="shared" ca="1" si="197"/>
        <v>#N/A</v>
      </c>
      <c r="AG254" s="285">
        <f t="shared" si="198"/>
        <v>2.2377778769097617E-4</v>
      </c>
      <c r="AH254" s="99">
        <f t="shared" si="199"/>
        <v>2.24E-4</v>
      </c>
      <c r="AI254" s="99">
        <f t="shared" si="172"/>
        <v>0.99914599999999987</v>
      </c>
      <c r="AJ254" s="99" t="e">
        <f t="shared" ca="1" si="200"/>
        <v>#N/A</v>
      </c>
      <c r="AK254" s="161" t="e">
        <f t="shared" ca="1" si="173"/>
        <v>#N/A</v>
      </c>
      <c r="AL254" s="286" t="e">
        <f t="shared" ca="1" si="201"/>
        <v>#N/A</v>
      </c>
      <c r="AM254" s="285">
        <f t="shared" si="202"/>
        <v>2.2466465862100481E-4</v>
      </c>
      <c r="AN254" s="99">
        <f t="shared" si="203"/>
        <v>2.2499999999999999E-4</v>
      </c>
      <c r="AO254" s="99">
        <f t="shared" si="174"/>
        <v>0.99915600000000016</v>
      </c>
      <c r="AP254" s="99" t="e">
        <f t="shared" ca="1" si="204"/>
        <v>#N/A</v>
      </c>
      <c r="AQ254" s="161" t="e">
        <f t="shared" ca="1" si="175"/>
        <v>#N/A</v>
      </c>
      <c r="AR254" s="286" t="e">
        <f t="shared" ca="1" si="205"/>
        <v>#N/A</v>
      </c>
      <c r="AS254" s="285">
        <f t="shared" si="206"/>
        <v>7.1258822412456388E-5</v>
      </c>
      <c r="AT254" s="99">
        <f t="shared" si="207"/>
        <v>7.1000000000000005E-5</v>
      </c>
      <c r="AU254" s="99">
        <f t="shared" si="176"/>
        <v>0.9997370000000001</v>
      </c>
      <c r="AV254" s="99" t="e">
        <f t="shared" ca="1" si="208"/>
        <v>#N/A</v>
      </c>
      <c r="AW254" s="161" t="e">
        <f t="shared" ca="1" si="177"/>
        <v>#N/A</v>
      </c>
      <c r="AX254" s="286" t="e">
        <f t="shared" ca="1" si="209"/>
        <v>#N/A</v>
      </c>
      <c r="CD254"/>
      <c r="CE254"/>
      <c r="CG254" s="77"/>
      <c r="CH254" s="94"/>
    </row>
    <row r="255" spans="2:86" x14ac:dyDescent="0.25">
      <c r="B255" s="104">
        <f t="shared" si="164"/>
        <v>55</v>
      </c>
      <c r="C255" s="94">
        <v>56</v>
      </c>
      <c r="D255" s="94">
        <f t="shared" si="180"/>
        <v>2.7958181127500828E-5</v>
      </c>
      <c r="E255" s="94">
        <f t="shared" si="181"/>
        <v>2.8E-5</v>
      </c>
      <c r="F255" s="94">
        <f t="shared" si="165"/>
        <v>0.99991700000000017</v>
      </c>
      <c r="G255" s="94" t="e">
        <f t="shared" ca="1" si="182"/>
        <v>#N/A</v>
      </c>
      <c r="H255" s="94" t="e">
        <f t="shared" ca="1" si="183"/>
        <v>#N/A</v>
      </c>
      <c r="I255" s="161" t="e">
        <f t="shared" ca="1" si="179"/>
        <v>#N/A</v>
      </c>
      <c r="J255" s="156" t="e">
        <f t="shared" ca="1" si="178"/>
        <v>#N/A</v>
      </c>
      <c r="K255" s="160" t="e">
        <f t="shared" ca="1" si="161"/>
        <v>#N/A</v>
      </c>
      <c r="L255" s="101" t="e">
        <f t="shared" ca="1" si="184"/>
        <v>#N/A</v>
      </c>
      <c r="M255" s="101" t="e">
        <f t="shared" ca="1" si="185"/>
        <v>#N/A</v>
      </c>
      <c r="N255" s="101" t="e">
        <f t="shared" ca="1" si="162"/>
        <v>#N/A</v>
      </c>
      <c r="O255" s="285">
        <f t="shared" si="186"/>
        <v>2.7958181127500828E-5</v>
      </c>
      <c r="P255" s="99">
        <f t="shared" si="187"/>
        <v>2.8E-5</v>
      </c>
      <c r="Q255" s="99">
        <f t="shared" si="166"/>
        <v>0.99991700000000017</v>
      </c>
      <c r="R255" s="99" t="e">
        <f t="shared" ca="1" si="188"/>
        <v>#N/A</v>
      </c>
      <c r="S255" s="161" t="e">
        <f t="shared" ca="1" si="167"/>
        <v>#N/A</v>
      </c>
      <c r="T255" s="286" t="e">
        <f t="shared" ca="1" si="189"/>
        <v>#N/A</v>
      </c>
      <c r="U255" s="285">
        <f t="shared" si="190"/>
        <v>1.0117423126070088E-7</v>
      </c>
      <c r="V255" s="99">
        <f t="shared" si="191"/>
        <v>9.9999999999999995E-7</v>
      </c>
      <c r="W255" s="99">
        <f t="shared" si="168"/>
        <v>1.0000079999999993</v>
      </c>
      <c r="X255" s="99" t="e">
        <f t="shared" ca="1" si="192"/>
        <v>#N/A</v>
      </c>
      <c r="Y255" s="161" t="e">
        <f t="shared" ca="1" si="169"/>
        <v>#N/A</v>
      </c>
      <c r="Z255" s="286" t="e">
        <f t="shared" ca="1" si="193"/>
        <v>#N/A</v>
      </c>
      <c r="AA255" s="285">
        <f t="shared" si="194"/>
        <v>9.5644593906402846E-4</v>
      </c>
      <c r="AB255" s="99">
        <f t="shared" si="195"/>
        <v>9.7000000000000005E-4</v>
      </c>
      <c r="AC255" s="99">
        <f t="shared" si="170"/>
        <v>0.99668699999999999</v>
      </c>
      <c r="AD255" s="99" t="e">
        <f t="shared" ca="1" si="196"/>
        <v>#N/A</v>
      </c>
      <c r="AE255" s="161" t="e">
        <f t="shared" ca="1" si="171"/>
        <v>#N/A</v>
      </c>
      <c r="AF255" s="286" t="e">
        <f t="shared" ca="1" si="197"/>
        <v>#N/A</v>
      </c>
      <c r="AG255" s="285">
        <f t="shared" si="198"/>
        <v>2.0336623320436675E-4</v>
      </c>
      <c r="AH255" s="99">
        <f t="shared" si="199"/>
        <v>2.04E-4</v>
      </c>
      <c r="AI255" s="99">
        <f t="shared" si="172"/>
        <v>0.99934999999999985</v>
      </c>
      <c r="AJ255" s="99" t="e">
        <f t="shared" ca="1" si="200"/>
        <v>#N/A</v>
      </c>
      <c r="AK255" s="161" t="e">
        <f t="shared" ca="1" si="173"/>
        <v>#N/A</v>
      </c>
      <c r="AL255" s="286" t="e">
        <f t="shared" ca="1" si="201"/>
        <v>#N/A</v>
      </c>
      <c r="AM255" s="285">
        <f t="shared" si="202"/>
        <v>2.031927748210877E-4</v>
      </c>
      <c r="AN255" s="99">
        <f t="shared" si="203"/>
        <v>2.04E-4</v>
      </c>
      <c r="AO255" s="99">
        <f t="shared" si="174"/>
        <v>0.99936000000000014</v>
      </c>
      <c r="AP255" s="99" t="e">
        <f t="shared" ca="1" si="204"/>
        <v>#N/A</v>
      </c>
      <c r="AQ255" s="161" t="e">
        <f t="shared" ca="1" si="175"/>
        <v>#N/A</v>
      </c>
      <c r="AR255" s="286" t="e">
        <f t="shared" ca="1" si="205"/>
        <v>#N/A</v>
      </c>
      <c r="AS255" s="285">
        <f t="shared" si="206"/>
        <v>6.3920153479910528E-5</v>
      </c>
      <c r="AT255" s="99">
        <f t="shared" si="207"/>
        <v>6.3999999999999997E-5</v>
      </c>
      <c r="AU255" s="99">
        <f t="shared" si="176"/>
        <v>0.99980100000000005</v>
      </c>
      <c r="AV255" s="99" t="e">
        <f t="shared" ca="1" si="208"/>
        <v>#N/A</v>
      </c>
      <c r="AW255" s="161" t="e">
        <f t="shared" ca="1" si="177"/>
        <v>#N/A</v>
      </c>
      <c r="AX255" s="286" t="e">
        <f t="shared" ca="1" si="209"/>
        <v>#N/A</v>
      </c>
      <c r="BA255" s="92"/>
      <c r="CD255"/>
      <c r="CE255"/>
      <c r="CG255" s="77"/>
      <c r="CH255" s="94"/>
    </row>
    <row r="256" spans="2:86" x14ac:dyDescent="0.25">
      <c r="B256" s="104">
        <f t="shared" si="164"/>
        <v>56</v>
      </c>
      <c r="C256" s="94">
        <v>57</v>
      </c>
      <c r="D256" s="94">
        <f t="shared" si="180"/>
        <v>2.479767461075207E-5</v>
      </c>
      <c r="E256" s="94">
        <f t="shared" si="181"/>
        <v>2.5000000000000001E-5</v>
      </c>
      <c r="F256" s="94">
        <f t="shared" si="165"/>
        <v>0.99994200000000022</v>
      </c>
      <c r="G256" s="94" t="e">
        <f t="shared" ca="1" si="182"/>
        <v>#N/A</v>
      </c>
      <c r="H256" s="94" t="e">
        <f t="shared" ca="1" si="183"/>
        <v>#N/A</v>
      </c>
      <c r="I256" s="161" t="e">
        <f t="shared" ca="1" si="179"/>
        <v>#N/A</v>
      </c>
      <c r="J256" s="156" t="e">
        <f t="shared" ca="1" si="178"/>
        <v>#N/A</v>
      </c>
      <c r="K256" s="160" t="e">
        <f t="shared" ca="1" si="161"/>
        <v>#N/A</v>
      </c>
      <c r="L256" s="101" t="e">
        <f t="shared" ca="1" si="184"/>
        <v>#N/A</v>
      </c>
      <c r="M256" s="101" t="e">
        <f t="shared" ca="1" si="185"/>
        <v>#N/A</v>
      </c>
      <c r="N256" s="101" t="e">
        <f t="shared" ca="1" si="162"/>
        <v>#N/A</v>
      </c>
      <c r="O256" s="285">
        <f t="shared" si="186"/>
        <v>2.479767461075207E-5</v>
      </c>
      <c r="P256" s="99">
        <f t="shared" si="187"/>
        <v>2.5000000000000001E-5</v>
      </c>
      <c r="Q256" s="99">
        <f t="shared" si="166"/>
        <v>0.99994200000000022</v>
      </c>
      <c r="R256" s="99" t="e">
        <f t="shared" ca="1" si="188"/>
        <v>#N/A</v>
      </c>
      <c r="S256" s="161" t="e">
        <f t="shared" ca="1" si="167"/>
        <v>#N/A</v>
      </c>
      <c r="T256" s="286" t="e">
        <f t="shared" ca="1" si="189"/>
        <v>#N/A</v>
      </c>
      <c r="U256" s="285">
        <f t="shared" si="190"/>
        <v>8.3446629643467673E-8</v>
      </c>
      <c r="V256" s="99">
        <f t="shared" si="191"/>
        <v>9.9999999999999995E-7</v>
      </c>
      <c r="W256" s="99">
        <f t="shared" si="168"/>
        <v>1.0000089999999993</v>
      </c>
      <c r="X256" s="99" t="e">
        <f t="shared" ca="1" si="192"/>
        <v>#N/A</v>
      </c>
      <c r="Y256" s="161" t="e">
        <f t="shared" ca="1" si="169"/>
        <v>#N/A</v>
      </c>
      <c r="Z256" s="286" t="e">
        <f t="shared" ca="1" si="193"/>
        <v>#N/A</v>
      </c>
      <c r="AA256" s="285">
        <f t="shared" si="194"/>
        <v>8.9667004164064603E-4</v>
      </c>
      <c r="AB256" s="99">
        <f t="shared" si="195"/>
        <v>9.0899999999999998E-4</v>
      </c>
      <c r="AC256" s="99">
        <f t="shared" si="170"/>
        <v>0.99759600000000004</v>
      </c>
      <c r="AD256" s="99" t="e">
        <f t="shared" ca="1" si="196"/>
        <v>#N/A</v>
      </c>
      <c r="AE256" s="161" t="e">
        <f t="shared" ca="1" si="171"/>
        <v>#N/A</v>
      </c>
      <c r="AF256" s="286" t="e">
        <f t="shared" ca="1" si="197"/>
        <v>#N/A</v>
      </c>
      <c r="AG256" s="285">
        <f t="shared" si="198"/>
        <v>1.849920260193335E-4</v>
      </c>
      <c r="AH256" s="99">
        <f t="shared" si="199"/>
        <v>1.85E-4</v>
      </c>
      <c r="AI256" s="99">
        <f t="shared" si="172"/>
        <v>0.99953499999999984</v>
      </c>
      <c r="AJ256" s="99" t="e">
        <f t="shared" ca="1" si="200"/>
        <v>#N/A</v>
      </c>
      <c r="AK256" s="161" t="e">
        <f t="shared" ca="1" si="173"/>
        <v>#N/A</v>
      </c>
      <c r="AL256" s="286" t="e">
        <f t="shared" ca="1" si="201"/>
        <v>#N/A</v>
      </c>
      <c r="AM256" s="285">
        <f t="shared" si="202"/>
        <v>1.8394776337763401E-4</v>
      </c>
      <c r="AN256" s="99">
        <f t="shared" si="203"/>
        <v>1.84E-4</v>
      </c>
      <c r="AO256" s="99">
        <f t="shared" si="174"/>
        <v>0.9995440000000001</v>
      </c>
      <c r="AP256" s="99" t="e">
        <f t="shared" ca="1" si="204"/>
        <v>#N/A</v>
      </c>
      <c r="AQ256" s="161" t="e">
        <f t="shared" ca="1" si="175"/>
        <v>#N/A</v>
      </c>
      <c r="AR256" s="286" t="e">
        <f t="shared" ca="1" si="205"/>
        <v>#N/A</v>
      </c>
      <c r="AS256" s="285">
        <f t="shared" si="206"/>
        <v>5.7402796463932266E-5</v>
      </c>
      <c r="AT256" s="99">
        <f t="shared" si="207"/>
        <v>5.7000000000000003E-5</v>
      </c>
      <c r="AU256" s="99">
        <f t="shared" si="176"/>
        <v>0.99985800000000002</v>
      </c>
      <c r="AV256" s="99" t="e">
        <f t="shared" ca="1" si="208"/>
        <v>#N/A</v>
      </c>
      <c r="AW256" s="161" t="e">
        <f t="shared" ca="1" si="177"/>
        <v>#N/A</v>
      </c>
      <c r="AX256" s="286" t="e">
        <f t="shared" ca="1" si="209"/>
        <v>#N/A</v>
      </c>
      <c r="CD256"/>
      <c r="CE256"/>
      <c r="CG256" s="77"/>
      <c r="CH256" s="94"/>
    </row>
    <row r="257" spans="2:86" x14ac:dyDescent="0.25">
      <c r="B257" s="104">
        <f t="shared" si="164"/>
        <v>57</v>
      </c>
      <c r="C257" s="94">
        <v>58</v>
      </c>
      <c r="D257" s="94">
        <f t="shared" si="180"/>
        <v>2.202197231782269E-5</v>
      </c>
      <c r="E257" s="94">
        <f t="shared" si="181"/>
        <v>2.1999999999999999E-5</v>
      </c>
      <c r="F257" s="94">
        <f t="shared" si="165"/>
        <v>0.99996400000000019</v>
      </c>
      <c r="G257" s="94" t="e">
        <f t="shared" ca="1" si="182"/>
        <v>#N/A</v>
      </c>
      <c r="H257" s="94" t="e">
        <f t="shared" ca="1" si="183"/>
        <v>#N/A</v>
      </c>
      <c r="I257" s="161" t="e">
        <f t="shared" ca="1" si="179"/>
        <v>#N/A</v>
      </c>
      <c r="J257" s="156" t="e">
        <f t="shared" ca="1" si="178"/>
        <v>#N/A</v>
      </c>
      <c r="K257" s="160" t="e">
        <f t="shared" ca="1" si="161"/>
        <v>#N/A</v>
      </c>
      <c r="L257" s="101" t="e">
        <f t="shared" ca="1" si="184"/>
        <v>#N/A</v>
      </c>
      <c r="M257" s="101" t="e">
        <f t="shared" ca="1" si="185"/>
        <v>#N/A</v>
      </c>
      <c r="N257" s="101" t="e">
        <f t="shared" ca="1" si="162"/>
        <v>#N/A</v>
      </c>
      <c r="O257" s="285">
        <f t="shared" si="186"/>
        <v>2.202197231782269E-5</v>
      </c>
      <c r="P257" s="99">
        <f t="shared" si="187"/>
        <v>2.1999999999999999E-5</v>
      </c>
      <c r="Q257" s="99">
        <f t="shared" si="166"/>
        <v>0.99996400000000019</v>
      </c>
      <c r="R257" s="99" t="e">
        <f t="shared" ca="1" si="188"/>
        <v>#N/A</v>
      </c>
      <c r="S257" s="161" t="e">
        <f t="shared" ca="1" si="167"/>
        <v>#N/A</v>
      </c>
      <c r="T257" s="286" t="e">
        <f t="shared" ca="1" si="189"/>
        <v>#N/A</v>
      </c>
      <c r="U257" s="285">
        <f t="shared" si="190"/>
        <v>6.897015641193863E-8</v>
      </c>
      <c r="V257" s="99">
        <f t="shared" si="191"/>
        <v>9.9999999999999995E-7</v>
      </c>
      <c r="W257" s="99">
        <f t="shared" si="168"/>
        <v>1.0000099999999992</v>
      </c>
      <c r="X257" s="99" t="e">
        <f t="shared" ca="1" si="192"/>
        <v>#N/A</v>
      </c>
      <c r="Y257" s="161" t="e">
        <f t="shared" ca="1" si="169"/>
        <v>#N/A</v>
      </c>
      <c r="Z257" s="286" t="e">
        <f t="shared" ca="1" si="193"/>
        <v>#N/A</v>
      </c>
      <c r="AA257" s="285">
        <f t="shared" si="194"/>
        <v>8.4117492642657497E-4</v>
      </c>
      <c r="AB257" s="99">
        <f t="shared" si="195"/>
        <v>8.5300000000000003E-4</v>
      </c>
      <c r="AC257" s="99">
        <f t="shared" si="170"/>
        <v>0.99844900000000003</v>
      </c>
      <c r="AD257" s="99" t="e">
        <f t="shared" ca="1" si="196"/>
        <v>#N/A</v>
      </c>
      <c r="AE257" s="161" t="e">
        <f t="shared" ca="1" si="171"/>
        <v>#N/A</v>
      </c>
      <c r="AF257" s="286" t="e">
        <f t="shared" ca="1" si="197"/>
        <v>#N/A</v>
      </c>
      <c r="AG257" s="285">
        <f t="shared" si="198"/>
        <v>1.6843436147722917E-4</v>
      </c>
      <c r="AH257" s="99">
        <f t="shared" si="199"/>
        <v>1.6899999999999999E-4</v>
      </c>
      <c r="AI257" s="99">
        <f t="shared" si="172"/>
        <v>0.99970399999999981</v>
      </c>
      <c r="AJ257" s="99" t="e">
        <f t="shared" ca="1" si="200"/>
        <v>#N/A</v>
      </c>
      <c r="AK257" s="161" t="e">
        <f t="shared" ca="1" si="173"/>
        <v>#N/A</v>
      </c>
      <c r="AL257" s="286" t="e">
        <f t="shared" ca="1" si="201"/>
        <v>#N/A</v>
      </c>
      <c r="AM257" s="285">
        <f t="shared" si="202"/>
        <v>1.666807136390123E-4</v>
      </c>
      <c r="AN257" s="99">
        <f t="shared" si="203"/>
        <v>1.6699999999999999E-4</v>
      </c>
      <c r="AO257" s="99">
        <f t="shared" si="174"/>
        <v>0.99971100000000013</v>
      </c>
      <c r="AP257" s="99" t="e">
        <f t="shared" ca="1" si="204"/>
        <v>#N/A</v>
      </c>
      <c r="AQ257" s="161" t="e">
        <f t="shared" ca="1" si="175"/>
        <v>#N/A</v>
      </c>
      <c r="AR257" s="286" t="e">
        <f t="shared" ca="1" si="205"/>
        <v>#N/A</v>
      </c>
      <c r="AS257" s="285">
        <f t="shared" si="206"/>
        <v>5.1607516479629392E-5</v>
      </c>
      <c r="AT257" s="99">
        <f t="shared" si="207"/>
        <v>5.1999999999999997E-5</v>
      </c>
      <c r="AU257" s="99">
        <f t="shared" si="176"/>
        <v>0.99991000000000008</v>
      </c>
      <c r="AV257" s="99" t="e">
        <f t="shared" ca="1" si="208"/>
        <v>#N/A</v>
      </c>
      <c r="AW257" s="161" t="e">
        <f t="shared" ca="1" si="177"/>
        <v>#N/A</v>
      </c>
      <c r="AX257" s="286" t="e">
        <f t="shared" ca="1" si="209"/>
        <v>#N/A</v>
      </c>
      <c r="CD257"/>
      <c r="CE257"/>
      <c r="CG257" s="77"/>
      <c r="CH257" s="94"/>
    </row>
    <row r="258" spans="2:86" x14ac:dyDescent="0.25">
      <c r="B258" s="104">
        <f t="shared" si="164"/>
        <v>58</v>
      </c>
      <c r="C258" s="94">
        <v>59</v>
      </c>
      <c r="D258" s="94">
        <f t="shared" si="180"/>
        <v>1.9580882357042509E-5</v>
      </c>
      <c r="E258" s="94">
        <f t="shared" si="181"/>
        <v>2.0000000000000002E-5</v>
      </c>
      <c r="F258" s="94">
        <f t="shared" si="165"/>
        <v>0.99998400000000021</v>
      </c>
      <c r="G258" s="94" t="e">
        <f t="shared" ca="1" si="182"/>
        <v>#N/A</v>
      </c>
      <c r="H258" s="94" t="e">
        <f t="shared" ca="1" si="183"/>
        <v>#N/A</v>
      </c>
      <c r="I258" s="161" t="e">
        <f t="shared" ca="1" si="179"/>
        <v>#N/A</v>
      </c>
      <c r="J258" s="156" t="e">
        <f t="shared" ca="1" si="178"/>
        <v>#N/A</v>
      </c>
      <c r="K258" s="160" t="e">
        <f t="shared" ca="1" si="161"/>
        <v>#N/A</v>
      </c>
      <c r="L258" s="101" t="e">
        <f t="shared" ca="1" si="184"/>
        <v>#N/A</v>
      </c>
      <c r="M258" s="101" t="e">
        <f t="shared" ca="1" si="185"/>
        <v>#N/A</v>
      </c>
      <c r="N258" s="101" t="e">
        <f t="shared" ca="1" si="162"/>
        <v>#N/A</v>
      </c>
      <c r="O258" s="285">
        <f t="shared" si="186"/>
        <v>1.9580882357042509E-5</v>
      </c>
      <c r="P258" s="99">
        <f t="shared" si="187"/>
        <v>2.0000000000000002E-5</v>
      </c>
      <c r="Q258" s="99">
        <f t="shared" si="166"/>
        <v>0.99998400000000021</v>
      </c>
      <c r="R258" s="99" t="e">
        <f t="shared" ca="1" si="188"/>
        <v>#N/A</v>
      </c>
      <c r="S258" s="161" t="e">
        <f t="shared" ca="1" si="167"/>
        <v>#N/A</v>
      </c>
      <c r="T258" s="286" t="e">
        <f t="shared" ca="1" si="189"/>
        <v>#N/A</v>
      </c>
      <c r="U258" s="285">
        <f t="shared" si="190"/>
        <v>5.7122221505864575E-8</v>
      </c>
      <c r="V258" s="99">
        <f t="shared" si="191"/>
        <v>9.9999999999999995E-7</v>
      </c>
      <c r="W258" s="99">
        <f t="shared" si="168"/>
        <v>1.0000109999999991</v>
      </c>
      <c r="X258" s="99" t="e">
        <f t="shared" ca="1" si="192"/>
        <v>#N/A</v>
      </c>
      <c r="Y258" s="161" t="e">
        <f t="shared" ca="1" si="169"/>
        <v>#N/A</v>
      </c>
      <c r="Z258" s="286" t="e">
        <f t="shared" ca="1" si="193"/>
        <v>#N/A</v>
      </c>
      <c r="AA258" s="285">
        <f t="shared" si="194"/>
        <v>7.896147899609543E-4</v>
      </c>
      <c r="AB258" s="99">
        <f t="shared" si="195"/>
        <v>8.0000000000000004E-4</v>
      </c>
      <c r="AC258" s="99">
        <f t="shared" si="170"/>
        <v>0.99924900000000005</v>
      </c>
      <c r="AD258" s="99" t="e">
        <f t="shared" ca="1" si="196"/>
        <v>#N/A</v>
      </c>
      <c r="AE258" s="161" t="e">
        <f t="shared" ca="1" si="171"/>
        <v>#N/A</v>
      </c>
      <c r="AF258" s="286" t="e">
        <f t="shared" ca="1" si="197"/>
        <v>#N/A</v>
      </c>
      <c r="AG258" s="285">
        <f t="shared" si="198"/>
        <v>1.5349823602953306E-4</v>
      </c>
      <c r="AH258" s="99">
        <f t="shared" si="199"/>
        <v>1.54E-4</v>
      </c>
      <c r="AI258" s="99">
        <f t="shared" si="172"/>
        <v>0.9998579999999998</v>
      </c>
      <c r="AJ258" s="99" t="e">
        <f t="shared" ca="1" si="200"/>
        <v>#N/A</v>
      </c>
      <c r="AK258" s="161" t="e">
        <f t="shared" ca="1" si="173"/>
        <v>#N/A</v>
      </c>
      <c r="AL258" s="286" t="e">
        <f t="shared" ca="1" si="201"/>
        <v>#N/A</v>
      </c>
      <c r="AM258" s="285">
        <f t="shared" si="202"/>
        <v>1.5117251141747649E-4</v>
      </c>
      <c r="AN258" s="99">
        <f t="shared" si="203"/>
        <v>1.5100000000000001E-4</v>
      </c>
      <c r="AO258" s="99">
        <f t="shared" si="174"/>
        <v>0.99986200000000014</v>
      </c>
      <c r="AP258" s="99" t="e">
        <f t="shared" ca="1" si="204"/>
        <v>#N/A</v>
      </c>
      <c r="AQ258" s="161" t="e">
        <f t="shared" ca="1" si="175"/>
        <v>#N/A</v>
      </c>
      <c r="AR258" s="286" t="e">
        <f t="shared" ca="1" si="205"/>
        <v>#N/A</v>
      </c>
      <c r="AS258" s="285">
        <f t="shared" si="206"/>
        <v>4.6447946700704948E-5</v>
      </c>
      <c r="AT258" s="99">
        <f t="shared" si="207"/>
        <v>4.6E-5</v>
      </c>
      <c r="AU258" s="99">
        <f t="shared" si="176"/>
        <v>0.99995600000000007</v>
      </c>
      <c r="AV258" s="99" t="e">
        <f t="shared" ca="1" si="208"/>
        <v>#N/A</v>
      </c>
      <c r="AW258" s="161" t="e">
        <f t="shared" ca="1" si="177"/>
        <v>#N/A</v>
      </c>
      <c r="AX258" s="286" t="e">
        <f t="shared" ca="1" si="209"/>
        <v>#N/A</v>
      </c>
      <c r="CD258"/>
      <c r="CE258"/>
      <c r="CG258" s="77"/>
      <c r="CH258" s="94"/>
    </row>
    <row r="259" spans="2:86" x14ac:dyDescent="0.25">
      <c r="B259" s="104">
        <f t="shared" si="164"/>
        <v>59</v>
      </c>
      <c r="C259" s="94">
        <v>60</v>
      </c>
      <c r="D259" s="94">
        <f t="shared" si="180"/>
        <v>1.7431192279950344E-5</v>
      </c>
      <c r="E259" s="94">
        <f t="shared" si="181"/>
        <v>1.7E-5</v>
      </c>
      <c r="F259" s="94">
        <f t="shared" si="165"/>
        <v>1.0000010000000001</v>
      </c>
      <c r="G259" s="94" t="e">
        <f t="shared" ca="1" si="182"/>
        <v>#N/A</v>
      </c>
      <c r="H259" s="94" t="e">
        <f t="shared" ca="1" si="183"/>
        <v>#N/A</v>
      </c>
      <c r="I259" s="161" t="e">
        <f ca="1">IF((NOT(J259="n/a")),J259,ROUND(G259+I258,0))</f>
        <v>#N/A</v>
      </c>
      <c r="J259" s="156" t="e">
        <f t="shared" ca="1" si="178"/>
        <v>#N/A</v>
      </c>
      <c r="K259" s="160" t="e">
        <f t="shared" ca="1" si="161"/>
        <v>#N/A</v>
      </c>
      <c r="L259" s="101" t="e">
        <f t="shared" ca="1" si="184"/>
        <v>#N/A</v>
      </c>
      <c r="M259" s="101" t="e">
        <f t="shared" ca="1" si="185"/>
        <v>#N/A</v>
      </c>
      <c r="N259" s="101" t="e">
        <f t="shared" ca="1" si="162"/>
        <v>#N/A</v>
      </c>
      <c r="O259" s="285">
        <f t="shared" si="186"/>
        <v>1.7431192279950344E-5</v>
      </c>
      <c r="P259" s="99">
        <f t="shared" si="187"/>
        <v>1.7E-5</v>
      </c>
      <c r="Q259" s="99">
        <f t="shared" si="166"/>
        <v>1.0000010000000001</v>
      </c>
      <c r="R259" s="99" t="e">
        <f t="shared" ca="1" si="188"/>
        <v>#N/A</v>
      </c>
      <c r="S259" s="161" t="e">
        <f t="shared" ca="1" si="167"/>
        <v>#N/A</v>
      </c>
      <c r="T259" s="286" t="e">
        <f t="shared" ca="1" si="189"/>
        <v>#N/A</v>
      </c>
      <c r="U259" s="285">
        <f t="shared" si="190"/>
        <v>4.7404458006887198E-8</v>
      </c>
      <c r="V259" s="99">
        <f t="shared" si="191"/>
        <v>9.9999999999999995E-7</v>
      </c>
      <c r="W259" s="99">
        <f t="shared" si="168"/>
        <v>1.000011999999999</v>
      </c>
      <c r="X259" s="99" t="e">
        <f t="shared" ca="1" si="192"/>
        <v>#N/A</v>
      </c>
      <c r="Y259" s="161" t="e">
        <f t="shared" ca="1" si="169"/>
        <v>#N/A</v>
      </c>
      <c r="Z259" s="286" t="e">
        <f t="shared" ca="1" si="193"/>
        <v>#N/A</v>
      </c>
      <c r="AA259" s="285">
        <f t="shared" si="194"/>
        <v>7.4167491262876043E-4</v>
      </c>
      <c r="AB259" s="99">
        <f t="shared" si="195"/>
        <v>7.5199999999999996E-4</v>
      </c>
      <c r="AC259" s="99">
        <f t="shared" si="170"/>
        <v>1.0000010000000001</v>
      </c>
      <c r="AD259" s="99" t="e">
        <f t="shared" ca="1" si="196"/>
        <v>#N/A</v>
      </c>
      <c r="AE259" s="161" t="e">
        <f t="shared" ca="1" si="171"/>
        <v>#N/A</v>
      </c>
      <c r="AF259" s="286" t="e">
        <f t="shared" ca="1" si="197"/>
        <v>#N/A</v>
      </c>
      <c r="AG259" s="285">
        <f t="shared" si="198"/>
        <v>1.4001121766061696E-4</v>
      </c>
      <c r="AH259" s="99">
        <f t="shared" si="199"/>
        <v>1.3999999999999999E-4</v>
      </c>
      <c r="AI259" s="99">
        <f t="shared" si="172"/>
        <v>0.99999799999999983</v>
      </c>
      <c r="AJ259" s="99" t="e">
        <f t="shared" ca="1" si="200"/>
        <v>#N/A</v>
      </c>
      <c r="AK259" s="161" t="e">
        <f t="shared" ca="1" si="173"/>
        <v>#N/A</v>
      </c>
      <c r="AL259" s="286" t="e">
        <f t="shared" ca="1" si="201"/>
        <v>#N/A</v>
      </c>
      <c r="AM259" s="285">
        <f t="shared" si="202"/>
        <v>1.3723004163852221E-4</v>
      </c>
      <c r="AN259" s="99">
        <f t="shared" si="203"/>
        <v>1.37E-4</v>
      </c>
      <c r="AO259" s="99">
        <f t="shared" si="174"/>
        <v>0.99999900000000019</v>
      </c>
      <c r="AP259" s="99" t="e">
        <f t="shared" ca="1" si="204"/>
        <v>#N/A</v>
      </c>
      <c r="AQ259" s="161" t="e">
        <f t="shared" ca="1" si="175"/>
        <v>#N/A</v>
      </c>
      <c r="AR259" s="286" t="e">
        <f t="shared" ca="1" si="205"/>
        <v>#N/A</v>
      </c>
      <c r="AS259" s="285">
        <f t="shared" si="206"/>
        <v>4.1848807132974609E-5</v>
      </c>
      <c r="AT259" s="99">
        <f t="shared" si="207"/>
        <v>4.1999999999999998E-5</v>
      </c>
      <c r="AU259" s="99">
        <f t="shared" si="176"/>
        <v>0.99999800000000005</v>
      </c>
      <c r="AV259" s="99" t="e">
        <f t="shared" ca="1" si="208"/>
        <v>#N/A</v>
      </c>
      <c r="AW259" s="161" t="e">
        <f t="shared" ca="1" si="177"/>
        <v>#N/A</v>
      </c>
      <c r="AX259" s="286" t="e">
        <f t="shared" ca="1" si="209"/>
        <v>#N/A</v>
      </c>
      <c r="CD259"/>
      <c r="CE259"/>
      <c r="CG259" s="77"/>
      <c r="CH259" s="94"/>
    </row>
    <row r="260" spans="2:86" x14ac:dyDescent="0.25">
      <c r="C260" s="94" t="s">
        <v>126</v>
      </c>
      <c r="D260" s="93">
        <f>SUM(D200:D259)</f>
        <v>0.99972970320913224</v>
      </c>
      <c r="G260" s="94" t="e">
        <f ca="1">SUM(G200:G259)</f>
        <v>#N/A</v>
      </c>
      <c r="J260" s="103" t="e">
        <f ca="1">MAX(J200:J259)</f>
        <v>#N/A</v>
      </c>
      <c r="K260" s="160" t="e">
        <f ca="1">LOOKUP((MAX(J200:J259)),J200:J259,K200:K259)</f>
        <v>#N/A</v>
      </c>
      <c r="N260" s="94" t="e">
        <f ca="1">IF(H260&gt;0,H260,(ROUND((G260*4),0)))</f>
        <v>#N/A</v>
      </c>
      <c r="O260" s="287">
        <f>SUM(O200:O259)</f>
        <v>0.99972970320913224</v>
      </c>
      <c r="P260" s="288"/>
      <c r="Q260" s="288"/>
      <c r="R260" s="288"/>
      <c r="S260" s="288"/>
      <c r="T260" s="289" t="e">
        <f ca="1">LOOKUP((MAX($J200:$J259)),$J200:$J259,T200:T259)</f>
        <v>#N/A</v>
      </c>
      <c r="U260" s="287">
        <f>SUM(U200:U259)</f>
        <v>0.99980758476711529</v>
      </c>
      <c r="V260" s="288"/>
      <c r="W260" s="288"/>
      <c r="X260" s="288"/>
      <c r="Y260" s="288"/>
      <c r="Z260" s="289" t="e">
        <f ca="1">LOOKUP((MAX($J200:$J259)),$J200:$J259,Z200:Z259)</f>
        <v>#N/A</v>
      </c>
      <c r="AA260" s="287">
        <f>SUM(AA200:AA259)</f>
        <v>0.98653072812546672</v>
      </c>
      <c r="AB260" s="288"/>
      <c r="AC260" s="288"/>
      <c r="AD260" s="288"/>
      <c r="AE260" s="288"/>
      <c r="AF260" s="289" t="e">
        <f ca="1">LOOKUP((MAX($J200:$J259)),$J200:$J259,AF200:AF259)</f>
        <v>#N/A</v>
      </c>
      <c r="AG260" s="287">
        <f>SUM(AG200:AG259)</f>
        <v>0.99832172364385963</v>
      </c>
      <c r="AH260" s="288"/>
      <c r="AI260" s="288"/>
      <c r="AJ260" s="288"/>
      <c r="AK260" s="288"/>
      <c r="AL260" s="289" t="e">
        <f ca="1">LOOKUP((MAX($J200:$J259)),$J200:$J259,AL200:AL259)</f>
        <v>#N/A</v>
      </c>
      <c r="AM260" s="287">
        <f>SUM(AM200:AM259)</f>
        <v>0.9984740419774214</v>
      </c>
      <c r="AN260" s="288"/>
      <c r="AO260" s="288"/>
      <c r="AP260" s="288"/>
      <c r="AQ260" s="288"/>
      <c r="AR260" s="289" t="e">
        <f ca="1">LOOKUP((MAX($J200:$J259)),$J200:$J259,AR200:AR259)</f>
        <v>#N/A</v>
      </c>
      <c r="AS260" s="287">
        <f>SUM(AS200:AS259)</f>
        <v>0.99949605413856346</v>
      </c>
      <c r="AT260" s="288"/>
      <c r="AU260" s="288"/>
      <c r="AV260" s="288"/>
      <c r="AW260" s="288"/>
      <c r="AX260" s="289" t="e">
        <f ca="1">LOOKUP((MAX($J200:$J259)),$J200:$J259,AX200:AX259)</f>
        <v>#N/A</v>
      </c>
      <c r="CD260"/>
      <c r="CE260"/>
      <c r="CG260" s="77"/>
      <c r="CH260" s="94"/>
    </row>
    <row r="261" spans="2:86" x14ac:dyDescent="0.25">
      <c r="B261" s="345"/>
      <c r="C261" s="345"/>
      <c r="D261" s="346"/>
      <c r="E261" s="345"/>
      <c r="F261" s="345"/>
      <c r="G261" s="345"/>
      <c r="H261" s="345"/>
      <c r="I261" s="347"/>
      <c r="J261" s="348"/>
      <c r="K261" s="349"/>
      <c r="L261" s="345"/>
      <c r="M261" s="345"/>
      <c r="N261" s="345"/>
      <c r="O261" s="350"/>
      <c r="P261" s="350"/>
      <c r="Q261" s="350"/>
      <c r="R261" s="350"/>
      <c r="S261" s="350"/>
      <c r="T261" s="351"/>
      <c r="U261" s="350"/>
      <c r="V261" s="350"/>
      <c r="W261" s="350"/>
      <c r="X261" s="350"/>
      <c r="Y261" s="350"/>
      <c r="Z261" s="351"/>
      <c r="AA261" s="350"/>
      <c r="AB261" s="350"/>
      <c r="AC261" s="350"/>
      <c r="AD261" s="350"/>
      <c r="AE261" s="350"/>
      <c r="AF261" s="351"/>
      <c r="AG261" s="350"/>
      <c r="AH261" s="350"/>
      <c r="AI261" s="350"/>
      <c r="AJ261" s="350"/>
      <c r="AK261" s="350"/>
      <c r="AL261" s="351"/>
      <c r="AM261" s="350"/>
      <c r="AN261" s="350"/>
      <c r="AO261" s="350"/>
      <c r="AP261" s="350"/>
      <c r="AQ261" s="350"/>
      <c r="AR261" s="351"/>
      <c r="AS261" s="350"/>
      <c r="AT261" s="350"/>
      <c r="AU261" s="350"/>
      <c r="AV261" s="350"/>
      <c r="AW261" s="350"/>
      <c r="AX261" s="351"/>
      <c r="AY261" s="345"/>
      <c r="AZ261" s="345"/>
      <c r="BA261" s="345"/>
      <c r="BB261" s="345"/>
      <c r="BC261" s="345"/>
      <c r="BD261" s="345"/>
      <c r="BE261" s="345"/>
      <c r="BF261" s="345"/>
      <c r="BM261" s="345"/>
      <c r="BN261" s="345"/>
      <c r="BO261" s="345"/>
      <c r="BP261" s="345"/>
      <c r="BQ261" s="345"/>
      <c r="BR261" s="345"/>
      <c r="BS261" s="345"/>
      <c r="BT261" s="345"/>
      <c r="BU261" s="345"/>
      <c r="BV261" s="345"/>
      <c r="BW261" s="345"/>
      <c r="BX261" s="345"/>
      <c r="BY261" s="345"/>
      <c r="BZ261" s="345"/>
      <c r="CA261" s="345"/>
      <c r="CD261"/>
      <c r="CE261"/>
      <c r="CG261" s="77"/>
      <c r="CH261" s="94"/>
    </row>
    <row r="262" spans="2:86" ht="13.8" thickBot="1" x14ac:dyDescent="0.3">
      <c r="CD262"/>
      <c r="CE262"/>
      <c r="CG262" s="77"/>
      <c r="CH262" s="94"/>
    </row>
    <row r="263" spans="2:86" ht="27" thickBot="1" x14ac:dyDescent="0.3">
      <c r="D263" s="95" t="s">
        <v>255</v>
      </c>
      <c r="E263" s="336" t="str">
        <f>$E$41</f>
        <v>Wilkening</v>
      </c>
      <c r="F263" s="323" t="str">
        <f>$F$41</f>
        <v>Wilkening</v>
      </c>
      <c r="G263" s="323" t="str">
        <f>$G$41</f>
        <v>Mod.-Brookmeyer</v>
      </c>
      <c r="H263" s="321">
        <f>$H$41</f>
        <v>0</v>
      </c>
      <c r="I263" s="99"/>
      <c r="J263" s="99"/>
      <c r="K263" s="99"/>
      <c r="CD263"/>
      <c r="CE263"/>
      <c r="CG263" s="77"/>
      <c r="CH263" s="94"/>
    </row>
    <row r="264" spans="2:86" x14ac:dyDescent="0.25">
      <c r="B264" s="252"/>
      <c r="C264" s="318"/>
      <c r="D264" s="340" t="s">
        <v>250</v>
      </c>
      <c r="E264" s="337" t="e">
        <f ca="1">IF($E$48&gt;0,IF($J331&gt;0,IF($K331&gt;$E$48,$E$48,$K331),$E$48),$K331)</f>
        <v>#N/A</v>
      </c>
      <c r="F264" s="335" t="e">
        <f ca="1">IF($E$48&gt;0,IF($J331&gt;0,IF($T265&gt;$E$48,$E$48,$T265),$E$48),$T265)</f>
        <v>#N/A</v>
      </c>
      <c r="G264" s="335" t="e">
        <f ca="1">IF($E$48&gt;0,IF($J331&gt;0,IF($AL265&gt;$E$48,$E$48,$AL265),$E$48),$AL265)</f>
        <v>#N/A</v>
      </c>
      <c r="H264" s="367"/>
      <c r="I264" s="99"/>
      <c r="J264" s="99"/>
      <c r="K264" s="99"/>
      <c r="O264" s="94"/>
      <c r="P264" s="94"/>
      <c r="Q264" s="94"/>
      <c r="R264" s="94"/>
      <c r="S264" s="94"/>
      <c r="T264" s="94"/>
      <c r="U264" s="94"/>
      <c r="V264" s="94"/>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CD264"/>
      <c r="CE264"/>
      <c r="CG264" s="77"/>
      <c r="CH264" s="94"/>
    </row>
    <row r="265" spans="2:86" x14ac:dyDescent="0.25">
      <c r="B265" s="99"/>
      <c r="C265" s="319"/>
      <c r="D265" s="341" t="s">
        <v>443</v>
      </c>
      <c r="E265" s="338" t="e">
        <f ca="1">IF($E$41=$F$41,F265,IF($E$41=$G$41,G265,IF($E$41=$H$41,H265,"n/a")))</f>
        <v>#N/A</v>
      </c>
      <c r="F265" s="327" t="e">
        <f ca="1">IF($E$48&gt;0,IF($J331&gt;0,IF($Z265&gt;$E$48,$E$48,$Z265),$E$48),$Z265)</f>
        <v>#N/A</v>
      </c>
      <c r="G265" s="327" t="e">
        <f ca="1">IF($E$48&gt;0,IF($J331&gt;0,IF($AX265&gt;$E$48,$E$48,$AX265),$E$48),$AX265)</f>
        <v>#N/A</v>
      </c>
      <c r="H265" s="368"/>
      <c r="I265" s="99"/>
      <c r="J265" s="99"/>
      <c r="K265" s="99"/>
      <c r="O265" s="274" t="s">
        <v>247</v>
      </c>
      <c r="P265" s="315"/>
      <c r="Q265" s="315"/>
      <c r="R265" s="275"/>
      <c r="S265" s="359" t="s">
        <v>249</v>
      </c>
      <c r="T265" s="360" t="e">
        <f ca="1">T331</f>
        <v>#N/A</v>
      </c>
      <c r="U265" s="274" t="s">
        <v>253</v>
      </c>
      <c r="V265" s="315"/>
      <c r="W265" s="315"/>
      <c r="X265" s="275"/>
      <c r="Y265" s="359" t="s">
        <v>248</v>
      </c>
      <c r="Z265" s="366" t="e">
        <f ca="1">Z331</f>
        <v>#N/A</v>
      </c>
      <c r="AA265" s="274" t="s">
        <v>252</v>
      </c>
      <c r="AB265" s="315"/>
      <c r="AC265" s="315"/>
      <c r="AD265" s="275"/>
      <c r="AE265" s="359" t="s">
        <v>251</v>
      </c>
      <c r="AF265" s="360" t="e">
        <f ca="1">AF331</f>
        <v>#N/A</v>
      </c>
      <c r="AG265" s="274" t="s">
        <v>461</v>
      </c>
      <c r="AH265" s="275"/>
      <c r="AI265" s="275"/>
      <c r="AJ265" s="275"/>
      <c r="AK265" s="275"/>
      <c r="AL265" s="360" t="e">
        <f ca="1">AL331</f>
        <v>#N/A</v>
      </c>
      <c r="AM265" s="274" t="s">
        <v>462</v>
      </c>
      <c r="AN265" s="275"/>
      <c r="AO265" s="275"/>
      <c r="AP265" s="275"/>
      <c r="AQ265" s="359" t="s">
        <v>465</v>
      </c>
      <c r="AR265" s="360" t="e">
        <f ca="1">AR331</f>
        <v>#N/A</v>
      </c>
      <c r="AS265" s="274" t="s">
        <v>463</v>
      </c>
      <c r="AT265" s="275"/>
      <c r="AU265" s="275"/>
      <c r="AV265" s="275"/>
      <c r="AW265" s="359" t="s">
        <v>464</v>
      </c>
      <c r="AX265" s="360" t="e">
        <f ca="1">AX331</f>
        <v>#N/A</v>
      </c>
      <c r="CA265" s="102"/>
      <c r="CD265"/>
      <c r="CE265"/>
      <c r="CG265" s="77"/>
      <c r="CH265" s="94"/>
    </row>
    <row r="266" spans="2:86" ht="13.8" thickBot="1" x14ac:dyDescent="0.3">
      <c r="B266" s="99"/>
      <c r="C266" s="320"/>
      <c r="D266" s="342" t="s">
        <v>435</v>
      </c>
      <c r="E266" s="339" t="e">
        <f ca="1">IF($E$41=$F$41,F266,IF($E$41=$G$41,G266,IF($E$41=$H$41,H266,"n/a")))</f>
        <v>#N/A</v>
      </c>
      <c r="F266" s="328" t="e">
        <f ca="1">IF($E$48&gt;0,IF($J331&gt;0,IF($AF265&gt;$E$48,$E$48,$AF265),$E$48),$AF265)</f>
        <v>#N/A</v>
      </c>
      <c r="G266" s="328" t="e">
        <f ca="1">IF($E$48&gt;0,IF($J331&gt;0,IF($AR265&gt;$E$48,$E$48,$AR265),$E$48),$AR265)</f>
        <v>#N/A</v>
      </c>
      <c r="H266" s="369"/>
      <c r="I266" s="99"/>
      <c r="J266" s="99"/>
      <c r="K266" s="99"/>
      <c r="O266" s="276"/>
      <c r="P266" s="277"/>
      <c r="Q266" s="277"/>
      <c r="R266" s="277"/>
      <c r="S266" s="277"/>
      <c r="T266" s="281"/>
      <c r="U266" s="276"/>
      <c r="V266" s="277"/>
      <c r="W266" s="277"/>
      <c r="X266" s="277"/>
      <c r="Y266" s="277"/>
      <c r="Z266" s="281"/>
      <c r="AA266" s="276"/>
      <c r="AB266" s="277"/>
      <c r="AC266" s="277"/>
      <c r="AD266" s="277"/>
      <c r="AE266" s="277"/>
      <c r="AF266" s="281"/>
      <c r="AG266" s="276"/>
      <c r="AH266" s="277"/>
      <c r="AI266" s="277"/>
      <c r="AJ266" s="277"/>
      <c r="AK266" s="277"/>
      <c r="AL266" s="281"/>
      <c r="AM266" s="276"/>
      <c r="AN266" s="277"/>
      <c r="AO266" s="277"/>
      <c r="AP266" s="277"/>
      <c r="AQ266" s="277"/>
      <c r="AR266" s="281"/>
      <c r="AS266" s="276"/>
      <c r="AT266" s="277"/>
      <c r="AU266" s="277"/>
      <c r="AV266" s="277"/>
      <c r="AW266" s="277"/>
      <c r="AX266" s="281"/>
      <c r="AY266" s="98"/>
      <c r="AZ266" s="98"/>
      <c r="BA266" s="102"/>
      <c r="BB266" s="102"/>
      <c r="BC266" s="102"/>
      <c r="BD266" s="102"/>
      <c r="BE266" s="102"/>
      <c r="BF266" s="102"/>
      <c r="BM266" s="102"/>
      <c r="BN266" s="102"/>
      <c r="BO266" s="102"/>
      <c r="BP266" s="102"/>
      <c r="BQ266" s="102"/>
      <c r="BR266" s="102"/>
      <c r="BS266" s="102"/>
      <c r="BT266" s="102"/>
      <c r="BU266" s="102"/>
      <c r="BV266" s="102"/>
      <c r="BW266" s="102"/>
      <c r="BX266" s="102"/>
      <c r="BY266" s="102"/>
      <c r="BZ266" s="102"/>
      <c r="CD266"/>
      <c r="CE266"/>
      <c r="CG266" s="77"/>
      <c r="CH266" s="94"/>
    </row>
    <row r="267" spans="2:86" x14ac:dyDescent="0.25">
      <c r="B267" s="99"/>
      <c r="C267" s="316"/>
      <c r="D267" s="316"/>
      <c r="E267" s="317"/>
      <c r="F267" s="313"/>
      <c r="G267" s="313"/>
      <c r="H267" s="313"/>
      <c r="I267" s="99"/>
      <c r="J267" s="99"/>
      <c r="K267" s="99"/>
      <c r="O267" s="276"/>
      <c r="P267" s="277"/>
      <c r="Q267" s="277"/>
      <c r="R267" s="277"/>
      <c r="S267" s="277"/>
      <c r="T267" s="278"/>
      <c r="U267" s="276"/>
      <c r="V267" s="277"/>
      <c r="W267" s="277"/>
      <c r="X267" s="277"/>
      <c r="Y267" s="277"/>
      <c r="Z267" s="278"/>
      <c r="AA267" s="276"/>
      <c r="AB267" s="277"/>
      <c r="AC267" s="277"/>
      <c r="AD267" s="277"/>
      <c r="AE267" s="277"/>
      <c r="AF267" s="278"/>
      <c r="AG267" s="276"/>
      <c r="AH267" s="277"/>
      <c r="AI267" s="277"/>
      <c r="AJ267" s="277"/>
      <c r="AK267" s="277"/>
      <c r="AL267" s="278"/>
      <c r="AM267" s="276"/>
      <c r="AN267" s="277"/>
      <c r="AO267" s="277"/>
      <c r="AP267" s="277"/>
      <c r="AQ267" s="277"/>
      <c r="AR267" s="278"/>
      <c r="AS267" s="276"/>
      <c r="AT267" s="277"/>
      <c r="AU267" s="277"/>
      <c r="AV267" s="277"/>
      <c r="AW267" s="277"/>
      <c r="AX267" s="278"/>
      <c r="CD267"/>
      <c r="CE267"/>
      <c r="CG267" s="77"/>
      <c r="CH267" s="94"/>
    </row>
    <row r="268" spans="2:86" ht="15.6" x14ac:dyDescent="0.25">
      <c r="B268" s="99"/>
      <c r="C268" s="316"/>
      <c r="D268" s="316"/>
      <c r="E268" s="317"/>
      <c r="F268" s="313"/>
      <c r="G268" s="313"/>
      <c r="H268" s="313"/>
      <c r="I268" s="99"/>
      <c r="J268" s="99"/>
      <c r="K268" s="99"/>
      <c r="O268" s="365"/>
      <c r="P268" s="362"/>
      <c r="Q268" s="362"/>
      <c r="R268" s="362"/>
      <c r="S268" s="363"/>
      <c r="T268" s="364"/>
      <c r="U268" s="365"/>
      <c r="V268" s="362"/>
      <c r="W268" s="362"/>
      <c r="X268" s="362"/>
      <c r="Y268" s="363"/>
      <c r="Z268" s="364"/>
      <c r="AA268" s="365"/>
      <c r="AB268" s="362"/>
      <c r="AC268" s="362"/>
      <c r="AD268" s="362"/>
      <c r="AE268" s="363"/>
      <c r="AF268" s="364"/>
      <c r="AG268" s="361"/>
      <c r="AH268" s="362"/>
      <c r="AI268" s="362"/>
      <c r="AJ268" s="362"/>
      <c r="AK268" s="363"/>
      <c r="AL268" s="364"/>
      <c r="AM268" s="361"/>
      <c r="AN268" s="362"/>
      <c r="AO268" s="362"/>
      <c r="AP268" s="362"/>
      <c r="AQ268" s="363"/>
      <c r="AR268" s="364"/>
      <c r="AS268" s="361"/>
      <c r="AT268" s="362"/>
      <c r="AU268" s="362"/>
      <c r="AV268" s="362"/>
      <c r="AW268" s="363"/>
      <c r="AX268" s="364"/>
      <c r="CD268"/>
      <c r="CE268"/>
      <c r="CG268" s="77"/>
      <c r="CH268" s="94"/>
    </row>
    <row r="269" spans="2:86" ht="17.399999999999999" x14ac:dyDescent="0.3">
      <c r="B269" s="314" t="s">
        <v>257</v>
      </c>
      <c r="E269" s="464" t="str">
        <f>CASE_COUNTS!E10</f>
        <v>&lt;type description here&gt;</v>
      </c>
      <c r="G269" s="100"/>
      <c r="H269" s="95"/>
      <c r="O269" s="280"/>
      <c r="P269" s="279"/>
      <c r="Q269" s="279"/>
      <c r="R269" s="279"/>
      <c r="S269" s="279"/>
      <c r="T269" s="281"/>
      <c r="U269" s="280"/>
      <c r="V269" s="279"/>
      <c r="W269" s="279"/>
      <c r="X269" s="279"/>
      <c r="Y269" s="279"/>
      <c r="Z269" s="281"/>
      <c r="AA269" s="280"/>
      <c r="AB269" s="279"/>
      <c r="AC269" s="279"/>
      <c r="AD269" s="279"/>
      <c r="AE269" s="279"/>
      <c r="AF269" s="281"/>
      <c r="AI269" s="279"/>
      <c r="AK269" s="279"/>
      <c r="AL269" s="281"/>
      <c r="AO269" s="279"/>
      <c r="AQ269" s="279"/>
      <c r="AR269" s="281"/>
      <c r="AU269" s="279"/>
      <c r="AW269" s="279"/>
      <c r="AX269" s="281"/>
      <c r="CD269"/>
      <c r="CE269"/>
      <c r="CG269" s="77"/>
      <c r="CH269" s="94"/>
    </row>
    <row r="270" spans="2:86" ht="66" x14ac:dyDescent="0.25">
      <c r="B270" s="157" t="s">
        <v>118</v>
      </c>
      <c r="C270" s="157" t="s">
        <v>137</v>
      </c>
      <c r="D270" s="157" t="s">
        <v>136</v>
      </c>
      <c r="E270" s="157" t="s">
        <v>135</v>
      </c>
      <c r="F270" s="157" t="s">
        <v>134</v>
      </c>
      <c r="G270" s="158" t="s">
        <v>133</v>
      </c>
      <c r="H270" s="158" t="s">
        <v>256</v>
      </c>
      <c r="I270" s="158" t="s">
        <v>132</v>
      </c>
      <c r="J270" s="157" t="s">
        <v>131</v>
      </c>
      <c r="K270" s="159" t="s">
        <v>130</v>
      </c>
      <c r="L270" s="157" t="s">
        <v>128</v>
      </c>
      <c r="M270" s="157" t="s">
        <v>129</v>
      </c>
      <c r="N270" s="157" t="s">
        <v>127</v>
      </c>
      <c r="O270" s="282" t="s">
        <v>213</v>
      </c>
      <c r="P270" s="283" t="s">
        <v>215</v>
      </c>
      <c r="Q270" s="283" t="s">
        <v>220</v>
      </c>
      <c r="R270" s="283" t="s">
        <v>217</v>
      </c>
      <c r="S270" s="283" t="s">
        <v>219</v>
      </c>
      <c r="T270" s="284" t="s">
        <v>218</v>
      </c>
      <c r="U270" s="282" t="s">
        <v>213</v>
      </c>
      <c r="V270" s="283" t="s">
        <v>215</v>
      </c>
      <c r="W270" s="283" t="s">
        <v>220</v>
      </c>
      <c r="X270" s="283" t="s">
        <v>217</v>
      </c>
      <c r="Y270" s="283" t="s">
        <v>219</v>
      </c>
      <c r="Z270" s="284" t="s">
        <v>218</v>
      </c>
      <c r="AA270" s="282" t="s">
        <v>213</v>
      </c>
      <c r="AB270" s="283" t="s">
        <v>215</v>
      </c>
      <c r="AC270" s="283" t="s">
        <v>220</v>
      </c>
      <c r="AD270" s="283" t="s">
        <v>217</v>
      </c>
      <c r="AE270" s="283" t="s">
        <v>219</v>
      </c>
      <c r="AF270" s="284" t="s">
        <v>218</v>
      </c>
      <c r="AG270" s="159" t="s">
        <v>214</v>
      </c>
      <c r="AH270" s="159" t="s">
        <v>216</v>
      </c>
      <c r="AI270" s="283" t="s">
        <v>224</v>
      </c>
      <c r="AJ270" s="283" t="s">
        <v>221</v>
      </c>
      <c r="AK270" s="283" t="s">
        <v>222</v>
      </c>
      <c r="AL270" s="284" t="s">
        <v>223</v>
      </c>
      <c r="AM270" s="159" t="s">
        <v>214</v>
      </c>
      <c r="AN270" s="159" t="s">
        <v>216</v>
      </c>
      <c r="AO270" s="283" t="s">
        <v>224</v>
      </c>
      <c r="AP270" s="283" t="s">
        <v>221</v>
      </c>
      <c r="AQ270" s="283" t="s">
        <v>222</v>
      </c>
      <c r="AR270" s="284" t="s">
        <v>223</v>
      </c>
      <c r="AS270" s="159" t="s">
        <v>214</v>
      </c>
      <c r="AT270" s="159" t="s">
        <v>216</v>
      </c>
      <c r="AU270" s="283" t="s">
        <v>224</v>
      </c>
      <c r="AV270" s="283" t="s">
        <v>221</v>
      </c>
      <c r="AW270" s="283" t="s">
        <v>222</v>
      </c>
      <c r="AX270" s="284" t="s">
        <v>223</v>
      </c>
      <c r="CD270"/>
      <c r="CE270"/>
      <c r="CG270" s="77"/>
      <c r="CH270" s="94"/>
    </row>
    <row r="271" spans="2:86" x14ac:dyDescent="0.25">
      <c r="B271" s="104">
        <f>$I$402</f>
        <v>0</v>
      </c>
      <c r="C271" s="94">
        <v>1</v>
      </c>
      <c r="D271" s="94">
        <f t="shared" ref="D271:D302" si="210">_xlfn.LOGNORM.DIST(C271, $E$45, $E$47, FALSE)</f>
        <v>4.1494886126356278E-3</v>
      </c>
      <c r="E271" s="94">
        <f t="shared" ref="E271:E302" si="211">ROUND(D271/$D$331,6)</f>
        <v>4.1510000000000002E-3</v>
      </c>
      <c r="F271" s="94">
        <f>E271</f>
        <v>4.1510000000000002E-3</v>
      </c>
      <c r="G271" s="94" t="e">
        <f t="shared" ref="G271:G302" ca="1" si="212">IF(H271&gt;0,H271,(ROUND(E271*$E$264,0)))</f>
        <v>#N/A</v>
      </c>
      <c r="H271" s="94" t="e">
        <f t="shared" ref="H271:H302" ca="1" si="213">LOOKUP(B271,$C$405:$C$601,(OFFSET($C$405:$C$601,0,4)))</f>
        <v>#N/A</v>
      </c>
      <c r="I271" s="161" t="e">
        <f t="shared" ref="I271:I278" ca="1" si="214">IF((NOT(J271="n/a")),J271,ROUND(G271+I270,0))</f>
        <v>#N/A</v>
      </c>
      <c r="J271" s="156" t="e">
        <f ca="1">H271</f>
        <v>#N/A</v>
      </c>
      <c r="K271" s="160" t="e">
        <f ca="1">IF(NOT(J271="n/a"),(J271/F271),0)</f>
        <v>#N/A</v>
      </c>
      <c r="L271" s="101" t="e">
        <f t="shared" ref="L271:L302" ca="1" si="215">IF($E$41=$F$41,AE271,IF($E$41=$G$41,AW271,"n/a"))</f>
        <v>#N/A</v>
      </c>
      <c r="M271" s="101" t="e">
        <f t="shared" ref="M271:M302" ca="1" si="216">IF($E$41=$F$41,Y271,IF($E$41=$G$41,AQ271,"n/a"))</f>
        <v>#N/A</v>
      </c>
      <c r="N271" s="101" t="e">
        <f ca="1">IF($E$41=$F$41,AD271,IF($E$41=$G$41,AP271,"n/a"))</f>
        <v>#N/A</v>
      </c>
      <c r="O271" s="285">
        <f t="shared" ref="O271:O302" si="217">_xlfn.LOGNORM.DIST($C271, O$52, O$53, FALSE)</f>
        <v>4.1494886126356278E-3</v>
      </c>
      <c r="P271" s="99">
        <f t="shared" ref="P271:P302" si="218">ROUND(O271/O$331,6)</f>
        <v>4.1510000000000002E-3</v>
      </c>
      <c r="Q271" s="99">
        <f>P271</f>
        <v>4.1510000000000002E-3</v>
      </c>
      <c r="R271" s="99" t="e">
        <f t="shared" ref="R271:R302" ca="1" si="219">ROUND(P271*$F$264,0)</f>
        <v>#N/A</v>
      </c>
      <c r="S271" s="161" t="e">
        <f ca="1">ROUND(R271,0)</f>
        <v>#N/A</v>
      </c>
      <c r="T271" s="286" t="e">
        <f t="shared" ref="T271:T302" ca="1" si="220">IF(NOT($J271="n/a"),($J271/Q271),0)</f>
        <v>#N/A</v>
      </c>
      <c r="U271" s="285">
        <f t="shared" ref="U271:U302" si="221">_xlfn.LOGNORM.DIST($C271, U$52, U$53, FALSE)</f>
        <v>3.8999077802935674E-3</v>
      </c>
      <c r="V271" s="99">
        <f>IF(ROUND(U271/U$331,6)&lt;0.000001,0.000001,ROUND(U271/U$331,6))</f>
        <v>3.901E-3</v>
      </c>
      <c r="W271" s="99">
        <f>V271</f>
        <v>3.901E-3</v>
      </c>
      <c r="X271" s="99" t="e">
        <f t="shared" ref="X271:X302" ca="1" si="222">ROUND(V271*$F$265,0)</f>
        <v>#N/A</v>
      </c>
      <c r="Y271" s="161" t="e">
        <f ca="1">ROUND(X271,0)</f>
        <v>#N/A</v>
      </c>
      <c r="Z271" s="286" t="e">
        <f t="shared" ref="Z271:Z302" ca="1" si="223">IF(NOT($J271="n/a"),($J271/W271),0)</f>
        <v>#N/A</v>
      </c>
      <c r="AA271" s="285">
        <f t="shared" ref="AA271:AA302" si="224">_xlfn.LOGNORM.DIST($C271, AA$52, AA$53, FALSE)</f>
        <v>7.2536703768600807E-3</v>
      </c>
      <c r="AB271" s="99">
        <f t="shared" ref="AB271:AB302" si="225">IF(ROUND(AA271/AA$331,6)&lt;0.000001,0.000001,ROUND(AA271/AA$331,6))</f>
        <v>7.3530000000000002E-3</v>
      </c>
      <c r="AC271" s="99">
        <f>AB271</f>
        <v>7.3530000000000002E-3</v>
      </c>
      <c r="AD271" s="99" t="e">
        <f t="shared" ref="AD271:AD302" ca="1" si="226">ROUND(AB271*$F$266,0)</f>
        <v>#N/A</v>
      </c>
      <c r="AE271" s="161" t="e">
        <f ca="1">ROUND(AD271,0)</f>
        <v>#N/A</v>
      </c>
      <c r="AF271" s="286" t="e">
        <f t="shared" ref="AF271:AF302" ca="1" si="227">IF(NOT($J271="n/a"),($J271/AC271),0)</f>
        <v>#N/A</v>
      </c>
      <c r="AG271" s="285">
        <f t="shared" ref="AG271:AG302" si="228">_xlfn.LOGNORM.DIST($C271, AG$52, AG$53, FALSE)</f>
        <v>2.228973652197974E-3</v>
      </c>
      <c r="AH271" s="99">
        <f t="shared" ref="AH271:AH302" si="229">ROUND(AG271/AG$331,6)</f>
        <v>2.2330000000000002E-3</v>
      </c>
      <c r="AI271" s="99">
        <f>AH271</f>
        <v>2.2330000000000002E-3</v>
      </c>
      <c r="AJ271" s="99" t="e">
        <f t="shared" ref="AJ271:AJ302" ca="1" si="230">ROUND(AH271*$G$264,0)</f>
        <v>#N/A</v>
      </c>
      <c r="AK271" s="161" t="e">
        <f ca="1">ROUND(AJ271,0)</f>
        <v>#N/A</v>
      </c>
      <c r="AL271" s="286" t="e">
        <f t="shared" ref="AL271:AL302" ca="1" si="231">IF(NOT($J271="n/a"),($J271/AI271),0)</f>
        <v>#N/A</v>
      </c>
      <c r="AM271" s="285">
        <f t="shared" ref="AM271:AM302" si="232">_xlfn.LOGNORM.DIST($C271, AM$52, AM$53, FALSE)</f>
        <v>7.6328943848398372E-4</v>
      </c>
      <c r="AN271" s="99">
        <f t="shared" ref="AN271:AN302" si="233">IF(ROUND(AM271/AM$331,6)&lt;0.000001,0.000001,ROUND(AM271/AM$331,6))</f>
        <v>7.6400000000000003E-4</v>
      </c>
      <c r="AO271" s="99">
        <f>AN271</f>
        <v>7.6400000000000003E-4</v>
      </c>
      <c r="AP271" s="99" t="e">
        <f t="shared" ref="AP271:AP302" ca="1" si="234">ROUND(AN271*$G$266,0)</f>
        <v>#N/A</v>
      </c>
      <c r="AQ271" s="161" t="e">
        <f ca="1">ROUND(AP271,0)</f>
        <v>#N/A</v>
      </c>
      <c r="AR271" s="286" t="e">
        <f t="shared" ref="AR271:AR302" ca="1" si="235">IF(NOT($J271="n/a"),($J271/AO271),0)</f>
        <v>#N/A</v>
      </c>
      <c r="AS271" s="285">
        <f t="shared" ref="AS271:AS302" si="236">_xlfn.LOGNORM.DIST($C271, AS$52, AS$53, FALSE)</f>
        <v>4.9059042822844484E-3</v>
      </c>
      <c r="AT271" s="99">
        <f t="shared" ref="AT271:AT302" si="237">IF(ROUND(AS271/AS$331,6)&lt;0.000001,0.000001,ROUND(AS271/AS$331,6))</f>
        <v>4.908E-3</v>
      </c>
      <c r="AU271" s="99">
        <f>AT271</f>
        <v>4.908E-3</v>
      </c>
      <c r="AV271" s="99" t="e">
        <f t="shared" ref="AV271:AV302" ca="1" si="238">ROUND(AT271*$G$265,0)</f>
        <v>#N/A</v>
      </c>
      <c r="AW271" s="161" t="e">
        <f ca="1">ROUND(AV271,0)</f>
        <v>#N/A</v>
      </c>
      <c r="AX271" s="286" t="e">
        <f t="shared" ref="AX271:AX302" ca="1" si="239">IF(NOT($J271="n/a"),($J271/AU271),0)</f>
        <v>#N/A</v>
      </c>
      <c r="CD271"/>
      <c r="CE271"/>
      <c r="CG271" s="77"/>
      <c r="CH271" s="94"/>
    </row>
    <row r="272" spans="2:86" x14ac:dyDescent="0.25">
      <c r="B272" s="104">
        <f>B271+1</f>
        <v>1</v>
      </c>
      <c r="C272" s="94">
        <v>2</v>
      </c>
      <c r="D272" s="94">
        <f t="shared" si="210"/>
        <v>4.1441088921845635E-2</v>
      </c>
      <c r="E272" s="94">
        <f t="shared" si="211"/>
        <v>4.1452000000000003E-2</v>
      </c>
      <c r="F272" s="94">
        <f t="shared" ref="F272:F330" si="240">E272+F271</f>
        <v>4.5603000000000005E-2</v>
      </c>
      <c r="G272" s="94" t="e">
        <f t="shared" ca="1" si="212"/>
        <v>#N/A</v>
      </c>
      <c r="H272" s="94" t="e">
        <f t="shared" ca="1" si="213"/>
        <v>#N/A</v>
      </c>
      <c r="I272" s="161" t="e">
        <f t="shared" ca="1" si="214"/>
        <v>#N/A</v>
      </c>
      <c r="J272" s="156" t="e">
        <f ca="1">IF(H272=0,"n/a",H272+J271)</f>
        <v>#N/A</v>
      </c>
      <c r="K272" s="160" t="e">
        <f t="shared" ref="K272:K330" ca="1" si="241">IF(NOT(J272="n/a"),(J272/F272),0)</f>
        <v>#N/A</v>
      </c>
      <c r="L272" s="101" t="e">
        <f ca="1">IF($E$41=$F$41,AE272,IF($E$41=$G$41,AW272,"n/a"))</f>
        <v>#N/A</v>
      </c>
      <c r="M272" s="101" t="e">
        <f t="shared" ca="1" si="216"/>
        <v>#N/A</v>
      </c>
      <c r="N272" s="101" t="e">
        <f t="shared" ref="N272:N330" ca="1" si="242">IF($E$41=$F$41,AD272,IF($E$41=$G$41,AP272,"n/a"))</f>
        <v>#N/A</v>
      </c>
      <c r="O272" s="285">
        <f t="shared" si="217"/>
        <v>4.1441088921845635E-2</v>
      </c>
      <c r="P272" s="99">
        <f t="shared" si="218"/>
        <v>4.1452000000000003E-2</v>
      </c>
      <c r="Q272" s="99">
        <f>P272+Q271</f>
        <v>4.5603000000000005E-2</v>
      </c>
      <c r="R272" s="99" t="e">
        <f t="shared" ca="1" si="219"/>
        <v>#N/A</v>
      </c>
      <c r="S272" s="161" t="e">
        <f ca="1">ROUND(R272+S271,0)</f>
        <v>#N/A</v>
      </c>
      <c r="T272" s="286" t="e">
        <f t="shared" ca="1" si="220"/>
        <v>#N/A</v>
      </c>
      <c r="U272" s="285">
        <f t="shared" si="221"/>
        <v>7.092576247741994E-2</v>
      </c>
      <c r="V272" s="99">
        <f t="shared" ref="V272:V303" si="243">IF(ROUND(U272/U$260,6)&lt;0.000001,0.000001,ROUND(U272/U$260,6))</f>
        <v>7.0939000000000002E-2</v>
      </c>
      <c r="W272" s="99">
        <f>V272+W271</f>
        <v>7.4840000000000004E-2</v>
      </c>
      <c r="X272" s="99" t="e">
        <f t="shared" ca="1" si="222"/>
        <v>#N/A</v>
      </c>
      <c r="Y272" s="161" t="e">
        <f ca="1">ROUND(X272+Y271,0)</f>
        <v>#N/A</v>
      </c>
      <c r="Z272" s="286" t="e">
        <f t="shared" ca="1" si="223"/>
        <v>#N/A</v>
      </c>
      <c r="AA272" s="285">
        <f t="shared" si="224"/>
        <v>3.0817935068779893E-2</v>
      </c>
      <c r="AB272" s="99">
        <f t="shared" si="225"/>
        <v>3.1238999999999999E-2</v>
      </c>
      <c r="AC272" s="99">
        <f>AB272+AC271</f>
        <v>3.8592000000000001E-2</v>
      </c>
      <c r="AD272" s="99" t="e">
        <f t="shared" ca="1" si="226"/>
        <v>#N/A</v>
      </c>
      <c r="AE272" s="161" t="e">
        <f ca="1">ROUND(AD272+AE271,0)</f>
        <v>#N/A</v>
      </c>
      <c r="AF272" s="286" t="e">
        <f t="shared" ca="1" si="227"/>
        <v>#N/A</v>
      </c>
      <c r="AG272" s="285">
        <f t="shared" si="228"/>
        <v>2.2329188082983068E-2</v>
      </c>
      <c r="AH272" s="99">
        <f t="shared" si="229"/>
        <v>2.2367000000000001E-2</v>
      </c>
      <c r="AI272" s="99">
        <f>AH272+AI271</f>
        <v>2.46E-2</v>
      </c>
      <c r="AJ272" s="99" t="e">
        <f t="shared" ca="1" si="230"/>
        <v>#N/A</v>
      </c>
      <c r="AK272" s="161" t="e">
        <f ca="1">ROUND(AJ272+AK271,0)</f>
        <v>#N/A</v>
      </c>
      <c r="AL272" s="286" t="e">
        <f t="shared" ca="1" si="231"/>
        <v>#N/A</v>
      </c>
      <c r="AM272" s="285">
        <f t="shared" si="232"/>
        <v>1.2500445109613734E-2</v>
      </c>
      <c r="AN272" s="99">
        <f t="shared" si="233"/>
        <v>1.252E-2</v>
      </c>
      <c r="AO272" s="99">
        <f>AN272+AO271</f>
        <v>1.3284000000000001E-2</v>
      </c>
      <c r="AP272" s="99" t="e">
        <f t="shared" ca="1" si="234"/>
        <v>#N/A</v>
      </c>
      <c r="AQ272" s="161" t="e">
        <f ca="1">ROUND(AP272+AQ271,0)</f>
        <v>#N/A</v>
      </c>
      <c r="AR272" s="286" t="e">
        <f t="shared" ca="1" si="235"/>
        <v>#N/A</v>
      </c>
      <c r="AS272" s="285">
        <f t="shared" si="236"/>
        <v>4.0368885307584028E-2</v>
      </c>
      <c r="AT272" s="99">
        <f t="shared" si="237"/>
        <v>4.0389000000000001E-2</v>
      </c>
      <c r="AU272" s="99">
        <f>AT272+AU271</f>
        <v>4.5297000000000004E-2</v>
      </c>
      <c r="AV272" s="99" t="e">
        <f t="shared" ca="1" si="238"/>
        <v>#N/A</v>
      </c>
      <c r="AW272" s="161" t="e">
        <f ca="1">ROUND(AV272+AW271,0)</f>
        <v>#N/A</v>
      </c>
      <c r="AX272" s="286" t="e">
        <f t="shared" ca="1" si="239"/>
        <v>#N/A</v>
      </c>
      <c r="CD272"/>
      <c r="CE272"/>
      <c r="CG272" s="77"/>
      <c r="CH272" s="94"/>
    </row>
    <row r="273" spans="2:86" x14ac:dyDescent="0.25">
      <c r="B273" s="104">
        <f t="shared" ref="B273:B330" si="244">B272+1</f>
        <v>2</v>
      </c>
      <c r="C273" s="94">
        <v>3</v>
      </c>
      <c r="D273" s="94">
        <f t="shared" si="210"/>
        <v>8.6536506476041108E-2</v>
      </c>
      <c r="E273" s="94">
        <f t="shared" si="211"/>
        <v>8.6559999999999998E-2</v>
      </c>
      <c r="F273" s="94">
        <f t="shared" si="240"/>
        <v>0.132163</v>
      </c>
      <c r="G273" s="94" t="e">
        <f t="shared" ca="1" si="212"/>
        <v>#N/A</v>
      </c>
      <c r="H273" s="94" t="e">
        <f t="shared" ca="1" si="213"/>
        <v>#N/A</v>
      </c>
      <c r="I273" s="161" t="e">
        <f t="shared" ca="1" si="214"/>
        <v>#N/A</v>
      </c>
      <c r="J273" s="156" t="e">
        <f ca="1">IF(H273=0,"n/a",H273+J272)</f>
        <v>#N/A</v>
      </c>
      <c r="K273" s="160" t="e">
        <f t="shared" ca="1" si="241"/>
        <v>#N/A</v>
      </c>
      <c r="L273" s="101" t="e">
        <f t="shared" ca="1" si="215"/>
        <v>#N/A</v>
      </c>
      <c r="M273" s="101" t="e">
        <f t="shared" ca="1" si="216"/>
        <v>#N/A</v>
      </c>
      <c r="N273" s="101" t="e">
        <f t="shared" ca="1" si="242"/>
        <v>#N/A</v>
      </c>
      <c r="O273" s="285">
        <f t="shared" si="217"/>
        <v>8.6536506476041108E-2</v>
      </c>
      <c r="P273" s="99">
        <f t="shared" si="218"/>
        <v>8.6559999999999998E-2</v>
      </c>
      <c r="Q273" s="99">
        <f t="shared" ref="Q273:Q330" si="245">P273+Q272</f>
        <v>0.132163</v>
      </c>
      <c r="R273" s="99" t="e">
        <f t="shared" ca="1" si="219"/>
        <v>#N/A</v>
      </c>
      <c r="S273" s="161" t="e">
        <f t="shared" ref="S273:S330" ca="1" si="246">ROUND(R273+S272,0)</f>
        <v>#N/A</v>
      </c>
      <c r="T273" s="286" t="e">
        <f t="shared" ca="1" si="220"/>
        <v>#N/A</v>
      </c>
      <c r="U273" s="285">
        <f t="shared" si="221"/>
        <v>0.15576054666355946</v>
      </c>
      <c r="V273" s="99">
        <f t="shared" si="243"/>
        <v>0.15579100000000001</v>
      </c>
      <c r="W273" s="99">
        <f t="shared" ref="W273:W330" si="247">V273+W272</f>
        <v>0.23063100000000003</v>
      </c>
      <c r="X273" s="99" t="e">
        <f t="shared" ca="1" si="222"/>
        <v>#N/A</v>
      </c>
      <c r="Y273" s="161" t="e">
        <f ca="1">ROUND(X273+Y272,0)</f>
        <v>#N/A</v>
      </c>
      <c r="Z273" s="286" t="e">
        <f ca="1">IF(NOT($J273="n/a"),($J273/W273),0)</f>
        <v>#N/A</v>
      </c>
      <c r="AA273" s="285">
        <f t="shared" si="224"/>
        <v>5.0806545186598377E-2</v>
      </c>
      <c r="AB273" s="99">
        <f t="shared" si="225"/>
        <v>5.1499999999999997E-2</v>
      </c>
      <c r="AC273" s="99">
        <f t="shared" ref="AC273:AC330" si="248">AB273+AC272</f>
        <v>9.0092000000000005E-2</v>
      </c>
      <c r="AD273" s="99" t="e">
        <f t="shared" ca="1" si="226"/>
        <v>#N/A</v>
      </c>
      <c r="AE273" s="161" t="e">
        <f t="shared" ref="AE273:AE330" ca="1" si="249">ROUND(AD273+AE272,0)</f>
        <v>#N/A</v>
      </c>
      <c r="AF273" s="286" t="e">
        <f t="shared" ca="1" si="227"/>
        <v>#N/A</v>
      </c>
      <c r="AG273" s="285">
        <f t="shared" si="228"/>
        <v>5.0903195133495303E-2</v>
      </c>
      <c r="AH273" s="99">
        <f t="shared" si="229"/>
        <v>5.0989E-2</v>
      </c>
      <c r="AI273" s="99">
        <f t="shared" ref="AI273:AI330" si="250">AH273+AI272</f>
        <v>7.5589000000000003E-2</v>
      </c>
      <c r="AJ273" s="99" t="e">
        <f t="shared" ca="1" si="230"/>
        <v>#N/A</v>
      </c>
      <c r="AK273" s="161" t="e">
        <f t="shared" ref="AK273:AK330" ca="1" si="251">ROUND(AJ273+AK272,0)</f>
        <v>#N/A</v>
      </c>
      <c r="AL273" s="286" t="e">
        <f t="shared" ca="1" si="231"/>
        <v>#N/A</v>
      </c>
      <c r="AM273" s="285">
        <f t="shared" si="232"/>
        <v>3.5804949084388214E-2</v>
      </c>
      <c r="AN273" s="99">
        <f t="shared" si="233"/>
        <v>3.5860000000000003E-2</v>
      </c>
      <c r="AO273" s="99">
        <f t="shared" ref="AO273:AO330" si="252">AN273+AO272</f>
        <v>4.9144000000000007E-2</v>
      </c>
      <c r="AP273" s="99" t="e">
        <f t="shared" ca="1" si="234"/>
        <v>#N/A</v>
      </c>
      <c r="AQ273" s="161" t="e">
        <f t="shared" ref="AQ273:AQ330" ca="1" si="253">ROUND(AP273+AQ272,0)</f>
        <v>#N/A</v>
      </c>
      <c r="AR273" s="286" t="e">
        <f t="shared" ca="1" si="235"/>
        <v>#N/A</v>
      </c>
      <c r="AS273" s="285">
        <f t="shared" si="236"/>
        <v>7.9863244478421441E-2</v>
      </c>
      <c r="AT273" s="99">
        <f t="shared" si="237"/>
        <v>7.9904000000000003E-2</v>
      </c>
      <c r="AU273" s="99">
        <f t="shared" ref="AU273:AU330" si="254">AT273+AU272</f>
        <v>0.12520100000000001</v>
      </c>
      <c r="AV273" s="99" t="e">
        <f t="shared" ca="1" si="238"/>
        <v>#N/A</v>
      </c>
      <c r="AW273" s="161" t="e">
        <f t="shared" ref="AW273:AW330" ca="1" si="255">ROUND(AV273+AW272,0)</f>
        <v>#N/A</v>
      </c>
      <c r="AX273" s="286" t="e">
        <f t="shared" ca="1" si="239"/>
        <v>#N/A</v>
      </c>
      <c r="CD273"/>
      <c r="CE273"/>
      <c r="CG273" s="77"/>
      <c r="CH273" s="94"/>
    </row>
    <row r="274" spans="2:86" x14ac:dyDescent="0.25">
      <c r="B274" s="104">
        <f t="shared" si="244"/>
        <v>3</v>
      </c>
      <c r="C274" s="94">
        <v>4</v>
      </c>
      <c r="D274" s="94">
        <f t="shared" si="210"/>
        <v>0.11104815351609751</v>
      </c>
      <c r="E274" s="94">
        <f t="shared" si="211"/>
        <v>0.111078</v>
      </c>
      <c r="F274" s="94">
        <f t="shared" si="240"/>
        <v>0.24324099999999999</v>
      </c>
      <c r="G274" s="94" t="e">
        <f t="shared" ca="1" si="212"/>
        <v>#N/A</v>
      </c>
      <c r="H274" s="94" t="e">
        <f t="shared" ca="1" si="213"/>
        <v>#N/A</v>
      </c>
      <c r="I274" s="161" t="e">
        <f t="shared" ca="1" si="214"/>
        <v>#N/A</v>
      </c>
      <c r="J274" s="156" t="e">
        <f t="shared" ref="J274:J330" ca="1" si="256">IF(H274=0,"n/a",H274+J273)</f>
        <v>#N/A</v>
      </c>
      <c r="K274" s="160" t="e">
        <f t="shared" ca="1" si="241"/>
        <v>#N/A</v>
      </c>
      <c r="L274" s="101" t="e">
        <f t="shared" ca="1" si="215"/>
        <v>#N/A</v>
      </c>
      <c r="M274" s="101" t="e">
        <f t="shared" ca="1" si="216"/>
        <v>#N/A</v>
      </c>
      <c r="N274" s="101" t="e">
        <f t="shared" ca="1" si="242"/>
        <v>#N/A</v>
      </c>
      <c r="O274" s="285">
        <f t="shared" si="217"/>
        <v>0.11104815351609751</v>
      </c>
      <c r="P274" s="99">
        <f t="shared" si="218"/>
        <v>0.111078</v>
      </c>
      <c r="Q274" s="99">
        <f t="shared" si="245"/>
        <v>0.24324099999999999</v>
      </c>
      <c r="R274" s="99" t="e">
        <f t="shared" ca="1" si="219"/>
        <v>#N/A</v>
      </c>
      <c r="S274" s="161" t="e">
        <f t="shared" ca="1" si="246"/>
        <v>#N/A</v>
      </c>
      <c r="T274" s="286" t="e">
        <f t="shared" ca="1" si="220"/>
        <v>#N/A</v>
      </c>
      <c r="U274" s="285">
        <f t="shared" si="221"/>
        <v>0.18110431160426857</v>
      </c>
      <c r="V274" s="99">
        <f t="shared" si="243"/>
        <v>0.18113899999999999</v>
      </c>
      <c r="W274" s="99">
        <f t="shared" si="247"/>
        <v>0.41177000000000002</v>
      </c>
      <c r="X274" s="99" t="e">
        <f t="shared" ca="1" si="222"/>
        <v>#N/A</v>
      </c>
      <c r="Y274" s="161" t="e">
        <f t="shared" ref="Y274:Y330" ca="1" si="257">ROUND(X274+Y273,0)</f>
        <v>#N/A</v>
      </c>
      <c r="Z274" s="286" t="e">
        <f t="shared" ca="1" si="223"/>
        <v>#N/A</v>
      </c>
      <c r="AA274" s="285">
        <f t="shared" si="224"/>
        <v>6.2036361286667806E-2</v>
      </c>
      <c r="AB274" s="99">
        <f t="shared" si="225"/>
        <v>6.2882999999999994E-2</v>
      </c>
      <c r="AC274" s="99">
        <f t="shared" si="248"/>
        <v>0.152975</v>
      </c>
      <c r="AD274" s="99" t="e">
        <f t="shared" ca="1" si="226"/>
        <v>#N/A</v>
      </c>
      <c r="AE274" s="161" t="e">
        <f t="shared" ca="1" si="249"/>
        <v>#N/A</v>
      </c>
      <c r="AF274" s="286" t="e">
        <f t="shared" ca="1" si="227"/>
        <v>#N/A</v>
      </c>
      <c r="AG274" s="285">
        <f t="shared" si="228"/>
        <v>7.2243839991133957E-2</v>
      </c>
      <c r="AH274" s="99">
        <f t="shared" si="229"/>
        <v>7.2364999999999999E-2</v>
      </c>
      <c r="AI274" s="99">
        <f t="shared" si="250"/>
        <v>0.147954</v>
      </c>
      <c r="AJ274" s="99" t="e">
        <f t="shared" ca="1" si="230"/>
        <v>#N/A</v>
      </c>
      <c r="AK274" s="161" t="e">
        <f t="shared" ca="1" si="251"/>
        <v>#N/A</v>
      </c>
      <c r="AL274" s="286" t="e">
        <f t="shared" ca="1" si="231"/>
        <v>#N/A</v>
      </c>
      <c r="AM274" s="285">
        <f t="shared" si="232"/>
        <v>5.8187223317231911E-2</v>
      </c>
      <c r="AN274" s="99">
        <f t="shared" si="233"/>
        <v>5.8276000000000001E-2</v>
      </c>
      <c r="AO274" s="99">
        <f t="shared" si="252"/>
        <v>0.10742000000000002</v>
      </c>
      <c r="AP274" s="99" t="e">
        <f t="shared" ca="1" si="234"/>
        <v>#N/A</v>
      </c>
      <c r="AQ274" s="161" t="e">
        <f t="shared" ca="1" si="253"/>
        <v>#N/A</v>
      </c>
      <c r="AR274" s="286" t="e">
        <f t="shared" ca="1" si="235"/>
        <v>#N/A</v>
      </c>
      <c r="AS274" s="285">
        <f t="shared" si="236"/>
        <v>0.10128084922091396</v>
      </c>
      <c r="AT274" s="99">
        <f t="shared" si="237"/>
        <v>0.10133200000000001</v>
      </c>
      <c r="AU274" s="99">
        <f t="shared" si="254"/>
        <v>0.22653300000000001</v>
      </c>
      <c r="AV274" s="99" t="e">
        <f t="shared" ca="1" si="238"/>
        <v>#N/A</v>
      </c>
      <c r="AW274" s="161" t="e">
        <f t="shared" ca="1" si="255"/>
        <v>#N/A</v>
      </c>
      <c r="AX274" s="286" t="e">
        <f t="shared" ca="1" si="239"/>
        <v>#N/A</v>
      </c>
      <c r="CD274"/>
      <c r="CE274"/>
      <c r="CG274" s="77"/>
      <c r="CH274" s="94"/>
    </row>
    <row r="275" spans="2:86" x14ac:dyDescent="0.25">
      <c r="B275" s="104">
        <f t="shared" si="244"/>
        <v>4</v>
      </c>
      <c r="C275" s="94">
        <v>5</v>
      </c>
      <c r="D275" s="94">
        <f t="shared" si="210"/>
        <v>0.11527828582019288</v>
      </c>
      <c r="E275" s="94">
        <f t="shared" si="211"/>
        <v>0.11530899999999999</v>
      </c>
      <c r="F275" s="94">
        <f t="shared" si="240"/>
        <v>0.35854999999999998</v>
      </c>
      <c r="G275" s="94" t="e">
        <f t="shared" ca="1" si="212"/>
        <v>#N/A</v>
      </c>
      <c r="H275" s="94" t="e">
        <f t="shared" ca="1" si="213"/>
        <v>#N/A</v>
      </c>
      <c r="I275" s="161" t="e">
        <f t="shared" ca="1" si="214"/>
        <v>#N/A</v>
      </c>
      <c r="J275" s="156" t="e">
        <f t="shared" ca="1" si="256"/>
        <v>#N/A</v>
      </c>
      <c r="K275" s="160" t="e">
        <f t="shared" ca="1" si="241"/>
        <v>#N/A</v>
      </c>
      <c r="L275" s="101" t="e">
        <f t="shared" ca="1" si="215"/>
        <v>#N/A</v>
      </c>
      <c r="M275" s="101" t="e">
        <f t="shared" ca="1" si="216"/>
        <v>#N/A</v>
      </c>
      <c r="N275" s="101" t="e">
        <f t="shared" ca="1" si="242"/>
        <v>#N/A</v>
      </c>
      <c r="O275" s="285">
        <f t="shared" si="217"/>
        <v>0.11527828582019288</v>
      </c>
      <c r="P275" s="99">
        <f t="shared" si="218"/>
        <v>0.11530899999999999</v>
      </c>
      <c r="Q275" s="99">
        <f t="shared" si="245"/>
        <v>0.35854999999999998</v>
      </c>
      <c r="R275" s="99" t="e">
        <f t="shared" ca="1" si="219"/>
        <v>#N/A</v>
      </c>
      <c r="S275" s="161" t="e">
        <f t="shared" ca="1" si="246"/>
        <v>#N/A</v>
      </c>
      <c r="T275" s="286" t="e">
        <f t="shared" ca="1" si="220"/>
        <v>#N/A</v>
      </c>
      <c r="U275" s="285">
        <f t="shared" si="221"/>
        <v>0.16127598302583965</v>
      </c>
      <c r="V275" s="99">
        <f t="shared" si="243"/>
        <v>0.16130700000000001</v>
      </c>
      <c r="W275" s="99">
        <f t="shared" si="247"/>
        <v>0.57307700000000006</v>
      </c>
      <c r="X275" s="99" t="e">
        <f t="shared" ca="1" si="222"/>
        <v>#N/A</v>
      </c>
      <c r="Y275" s="161" t="e">
        <f t="shared" ca="1" si="257"/>
        <v>#N/A</v>
      </c>
      <c r="Z275" s="286" t="e">
        <f t="shared" ca="1" si="223"/>
        <v>#N/A</v>
      </c>
      <c r="AA275" s="285">
        <f t="shared" si="224"/>
        <v>6.6287928445060054E-2</v>
      </c>
      <c r="AB275" s="99">
        <f t="shared" si="225"/>
        <v>6.7193000000000003E-2</v>
      </c>
      <c r="AC275" s="99">
        <f t="shared" si="248"/>
        <v>0.220168</v>
      </c>
      <c r="AD275" s="99" t="e">
        <f t="shared" ca="1" si="226"/>
        <v>#N/A</v>
      </c>
      <c r="AE275" s="161" t="e">
        <f t="shared" ca="1" si="249"/>
        <v>#N/A</v>
      </c>
      <c r="AF275" s="286" t="e">
        <f t="shared" ca="1" si="227"/>
        <v>#N/A</v>
      </c>
      <c r="AG275" s="285">
        <f t="shared" si="228"/>
        <v>8.2893133421012025E-2</v>
      </c>
      <c r="AH275" s="99">
        <f t="shared" si="229"/>
        <v>8.3031999999999995E-2</v>
      </c>
      <c r="AI275" s="99">
        <f t="shared" si="250"/>
        <v>0.230986</v>
      </c>
      <c r="AJ275" s="99" t="e">
        <f t="shared" ca="1" si="230"/>
        <v>#N/A</v>
      </c>
      <c r="AK275" s="161" t="e">
        <f t="shared" ca="1" si="251"/>
        <v>#N/A</v>
      </c>
      <c r="AL275" s="286" t="e">
        <f t="shared" ca="1" si="231"/>
        <v>#N/A</v>
      </c>
      <c r="AM275" s="285">
        <f t="shared" si="232"/>
        <v>7.3045515146713647E-2</v>
      </c>
      <c r="AN275" s="99">
        <f t="shared" si="233"/>
        <v>7.3157E-2</v>
      </c>
      <c r="AO275" s="99">
        <f t="shared" si="252"/>
        <v>0.18057700000000002</v>
      </c>
      <c r="AP275" s="99" t="e">
        <f t="shared" ca="1" si="234"/>
        <v>#N/A</v>
      </c>
      <c r="AQ275" s="161" t="e">
        <f t="shared" ca="1" si="253"/>
        <v>#N/A</v>
      </c>
      <c r="AR275" s="286" t="e">
        <f t="shared" ca="1" si="235"/>
        <v>#N/A</v>
      </c>
      <c r="AS275" s="285">
        <f t="shared" si="236"/>
        <v>0.10577131720568293</v>
      </c>
      <c r="AT275" s="99">
        <f t="shared" si="237"/>
        <v>0.105825</v>
      </c>
      <c r="AU275" s="99">
        <f t="shared" si="254"/>
        <v>0.33235800000000004</v>
      </c>
      <c r="AV275" s="99" t="e">
        <f t="shared" ca="1" si="238"/>
        <v>#N/A</v>
      </c>
      <c r="AW275" s="161" t="e">
        <f t="shared" ca="1" si="255"/>
        <v>#N/A</v>
      </c>
      <c r="AX275" s="286" t="e">
        <f t="shared" ca="1" si="239"/>
        <v>#N/A</v>
      </c>
      <c r="CD275"/>
      <c r="CE275"/>
      <c r="CG275" s="77"/>
      <c r="CH275" s="94"/>
    </row>
    <row r="276" spans="2:86" x14ac:dyDescent="0.25">
      <c r="B276" s="104">
        <f t="shared" si="244"/>
        <v>5</v>
      </c>
      <c r="C276" s="94">
        <v>6</v>
      </c>
      <c r="D276" s="94">
        <f t="shared" si="210"/>
        <v>0.10741315519315243</v>
      </c>
      <c r="E276" s="94">
        <f t="shared" si="211"/>
        <v>0.107442</v>
      </c>
      <c r="F276" s="94">
        <f t="shared" si="240"/>
        <v>0.46599199999999996</v>
      </c>
      <c r="G276" s="94" t="e">
        <f t="shared" ca="1" si="212"/>
        <v>#N/A</v>
      </c>
      <c r="H276" s="94" t="e">
        <f t="shared" ca="1" si="213"/>
        <v>#N/A</v>
      </c>
      <c r="I276" s="161" t="e">
        <f t="shared" ca="1" si="214"/>
        <v>#N/A</v>
      </c>
      <c r="J276" s="156" t="e">
        <f t="shared" ca="1" si="256"/>
        <v>#N/A</v>
      </c>
      <c r="K276" s="160" t="e">
        <f t="shared" ca="1" si="241"/>
        <v>#N/A</v>
      </c>
      <c r="L276" s="101" t="e">
        <f t="shared" ca="1" si="215"/>
        <v>#N/A</v>
      </c>
      <c r="M276" s="101" t="e">
        <f t="shared" ca="1" si="216"/>
        <v>#N/A</v>
      </c>
      <c r="N276" s="101" t="e">
        <f t="shared" ca="1" si="242"/>
        <v>#N/A</v>
      </c>
      <c r="O276" s="285">
        <f t="shared" si="217"/>
        <v>0.10741315519315243</v>
      </c>
      <c r="P276" s="99">
        <f t="shared" si="218"/>
        <v>0.107442</v>
      </c>
      <c r="Q276" s="99">
        <f t="shared" si="245"/>
        <v>0.46599199999999996</v>
      </c>
      <c r="R276" s="99" t="e">
        <f t="shared" ca="1" si="219"/>
        <v>#N/A</v>
      </c>
      <c r="S276" s="161" t="e">
        <f t="shared" ca="1" si="246"/>
        <v>#N/A</v>
      </c>
      <c r="T276" s="286" t="e">
        <f t="shared" ca="1" si="220"/>
        <v>#N/A</v>
      </c>
      <c r="U276" s="285">
        <f t="shared" si="221"/>
        <v>0.1261329769636694</v>
      </c>
      <c r="V276" s="99">
        <f t="shared" si="243"/>
        <v>0.12615699999999999</v>
      </c>
      <c r="W276" s="99">
        <f t="shared" si="247"/>
        <v>0.69923400000000002</v>
      </c>
      <c r="X276" s="99" t="e">
        <f t="shared" ca="1" si="222"/>
        <v>#N/A</v>
      </c>
      <c r="Y276" s="161" t="e">
        <f t="shared" ca="1" si="257"/>
        <v>#N/A</v>
      </c>
      <c r="Z276" s="286" t="e">
        <f t="shared" ca="1" si="223"/>
        <v>#N/A</v>
      </c>
      <c r="AA276" s="285">
        <f t="shared" si="224"/>
        <v>6.6069176036870264E-2</v>
      </c>
      <c r="AB276" s="99">
        <f t="shared" si="225"/>
        <v>6.6971000000000003E-2</v>
      </c>
      <c r="AC276" s="99">
        <f t="shared" si="248"/>
        <v>0.28713900000000003</v>
      </c>
      <c r="AD276" s="99" t="e">
        <f t="shared" ca="1" si="226"/>
        <v>#N/A</v>
      </c>
      <c r="AE276" s="161" t="e">
        <f t="shared" ca="1" si="249"/>
        <v>#N/A</v>
      </c>
      <c r="AF276" s="286" t="e">
        <f t="shared" ca="1" si="227"/>
        <v>#N/A</v>
      </c>
      <c r="AG276" s="285">
        <f t="shared" si="228"/>
        <v>8.5025633655815766E-2</v>
      </c>
      <c r="AH276" s="99">
        <f t="shared" si="229"/>
        <v>8.5168999999999995E-2</v>
      </c>
      <c r="AI276" s="99">
        <f t="shared" si="250"/>
        <v>0.31615499999999996</v>
      </c>
      <c r="AJ276" s="99" t="e">
        <f t="shared" ca="1" si="230"/>
        <v>#N/A</v>
      </c>
      <c r="AK276" s="161" t="e">
        <f t="shared" ca="1" si="251"/>
        <v>#N/A</v>
      </c>
      <c r="AL276" s="286" t="e">
        <f t="shared" ca="1" si="231"/>
        <v>#N/A</v>
      </c>
      <c r="AM276" s="285">
        <f t="shared" si="232"/>
        <v>7.9847307011954291E-2</v>
      </c>
      <c r="AN276" s="99">
        <f t="shared" si="233"/>
        <v>7.9968999999999998E-2</v>
      </c>
      <c r="AO276" s="99">
        <f t="shared" si="252"/>
        <v>0.260546</v>
      </c>
      <c r="AP276" s="99" t="e">
        <f t="shared" ca="1" si="234"/>
        <v>#N/A</v>
      </c>
      <c r="AQ276" s="161" t="e">
        <f t="shared" ca="1" si="253"/>
        <v>#N/A</v>
      </c>
      <c r="AR276" s="286" t="e">
        <f t="shared" ca="1" si="235"/>
        <v>#N/A</v>
      </c>
      <c r="AS276" s="285">
        <f t="shared" si="236"/>
        <v>0.10001757269913929</v>
      </c>
      <c r="AT276" s="99">
        <f t="shared" si="237"/>
        <v>0.100068</v>
      </c>
      <c r="AU276" s="99">
        <f t="shared" si="254"/>
        <v>0.43242600000000003</v>
      </c>
      <c r="AV276" s="99" t="e">
        <f t="shared" ca="1" si="238"/>
        <v>#N/A</v>
      </c>
      <c r="AW276" s="161" t="e">
        <f t="shared" ca="1" si="255"/>
        <v>#N/A</v>
      </c>
      <c r="AX276" s="286" t="e">
        <f t="shared" ca="1" si="239"/>
        <v>#N/A</v>
      </c>
      <c r="CD276"/>
      <c r="CE276"/>
      <c r="CG276" s="77"/>
      <c r="CH276" s="94"/>
    </row>
    <row r="277" spans="2:86" x14ac:dyDescent="0.25">
      <c r="B277" s="104">
        <f t="shared" si="244"/>
        <v>6</v>
      </c>
      <c r="C277" s="94">
        <v>7</v>
      </c>
      <c r="D277" s="94">
        <f t="shared" si="210"/>
        <v>9.424730869960074E-2</v>
      </c>
      <c r="E277" s="94">
        <f t="shared" si="211"/>
        <v>9.4272999999999996E-2</v>
      </c>
      <c r="F277" s="94">
        <f t="shared" si="240"/>
        <v>0.56026500000000001</v>
      </c>
      <c r="G277" s="94" t="e">
        <f t="shared" ca="1" si="212"/>
        <v>#N/A</v>
      </c>
      <c r="H277" s="94" t="e">
        <f t="shared" ca="1" si="213"/>
        <v>#N/A</v>
      </c>
      <c r="I277" s="161" t="e">
        <f t="shared" ca="1" si="214"/>
        <v>#N/A</v>
      </c>
      <c r="J277" s="156" t="e">
        <f t="shared" ca="1" si="256"/>
        <v>#N/A</v>
      </c>
      <c r="K277" s="160" t="e">
        <f t="shared" ca="1" si="241"/>
        <v>#N/A</v>
      </c>
      <c r="L277" s="101" t="e">
        <f t="shared" ca="1" si="215"/>
        <v>#N/A</v>
      </c>
      <c r="M277" s="101" t="e">
        <f t="shared" ca="1" si="216"/>
        <v>#N/A</v>
      </c>
      <c r="N277" s="101" t="e">
        <f t="shared" ca="1" si="242"/>
        <v>#N/A</v>
      </c>
      <c r="O277" s="285">
        <f t="shared" si="217"/>
        <v>9.424730869960074E-2</v>
      </c>
      <c r="P277" s="99">
        <f t="shared" si="218"/>
        <v>9.4272999999999996E-2</v>
      </c>
      <c r="Q277" s="99">
        <f t="shared" si="245"/>
        <v>0.56026500000000001</v>
      </c>
      <c r="R277" s="99" t="e">
        <f t="shared" ca="1" si="219"/>
        <v>#N/A</v>
      </c>
      <c r="S277" s="161" t="e">
        <f t="shared" ca="1" si="246"/>
        <v>#N/A</v>
      </c>
      <c r="T277" s="286" t="e">
        <f t="shared" ca="1" si="220"/>
        <v>#N/A</v>
      </c>
      <c r="U277" s="285">
        <f t="shared" si="221"/>
        <v>9.2163234198371677E-2</v>
      </c>
      <c r="V277" s="99">
        <f t="shared" si="243"/>
        <v>9.2180999999999999E-2</v>
      </c>
      <c r="W277" s="99">
        <f t="shared" si="247"/>
        <v>0.79141499999999998</v>
      </c>
      <c r="X277" s="99" t="e">
        <f t="shared" ca="1" si="222"/>
        <v>#N/A</v>
      </c>
      <c r="Y277" s="161" t="e">
        <f t="shared" ca="1" si="257"/>
        <v>#N/A</v>
      </c>
      <c r="Z277" s="286" t="e">
        <f t="shared" ca="1" si="223"/>
        <v>#N/A</v>
      </c>
      <c r="AA277" s="285">
        <f t="shared" si="224"/>
        <v>6.3281191125273972E-2</v>
      </c>
      <c r="AB277" s="99">
        <f t="shared" si="225"/>
        <v>6.4144999999999994E-2</v>
      </c>
      <c r="AC277" s="99">
        <f t="shared" si="248"/>
        <v>0.35128400000000004</v>
      </c>
      <c r="AD277" s="99" t="e">
        <f t="shared" ca="1" si="226"/>
        <v>#N/A</v>
      </c>
      <c r="AE277" s="161" t="e">
        <f t="shared" ca="1" si="249"/>
        <v>#N/A</v>
      </c>
      <c r="AF277" s="286" t="e">
        <f t="shared" ca="1" si="227"/>
        <v>#N/A</v>
      </c>
      <c r="AG277" s="285">
        <f t="shared" si="228"/>
        <v>8.1730158902806854E-2</v>
      </c>
      <c r="AH277" s="99">
        <f t="shared" si="229"/>
        <v>8.1867999999999996E-2</v>
      </c>
      <c r="AI277" s="99">
        <f t="shared" si="250"/>
        <v>0.39802299999999996</v>
      </c>
      <c r="AJ277" s="99" t="e">
        <f t="shared" ca="1" si="230"/>
        <v>#N/A</v>
      </c>
      <c r="AK277" s="161" t="e">
        <f t="shared" ca="1" si="251"/>
        <v>#N/A</v>
      </c>
      <c r="AL277" s="286" t="e">
        <f t="shared" ca="1" si="231"/>
        <v>#N/A</v>
      </c>
      <c r="AM277" s="285">
        <f t="shared" si="232"/>
        <v>8.0438266398665428E-2</v>
      </c>
      <c r="AN277" s="99">
        <f t="shared" si="233"/>
        <v>8.0560999999999994E-2</v>
      </c>
      <c r="AO277" s="99">
        <f t="shared" si="252"/>
        <v>0.34110699999999999</v>
      </c>
      <c r="AP277" s="99" t="e">
        <f t="shared" ca="1" si="234"/>
        <v>#N/A</v>
      </c>
      <c r="AQ277" s="161" t="e">
        <f t="shared" ca="1" si="253"/>
        <v>#N/A</v>
      </c>
      <c r="AR277" s="286" t="e">
        <f t="shared" ca="1" si="235"/>
        <v>#N/A</v>
      </c>
      <c r="AS277" s="285">
        <f t="shared" si="236"/>
        <v>8.9473381741231484E-2</v>
      </c>
      <c r="AT277" s="99">
        <f t="shared" si="237"/>
        <v>8.9518E-2</v>
      </c>
      <c r="AU277" s="99">
        <f t="shared" si="254"/>
        <v>0.52194400000000007</v>
      </c>
      <c r="AV277" s="99" t="e">
        <f t="shared" ca="1" si="238"/>
        <v>#N/A</v>
      </c>
      <c r="AW277" s="161" t="e">
        <f t="shared" ca="1" si="255"/>
        <v>#N/A</v>
      </c>
      <c r="AX277" s="286" t="e">
        <f t="shared" ca="1" si="239"/>
        <v>#N/A</v>
      </c>
      <c r="CD277"/>
      <c r="CE277"/>
      <c r="CG277" s="77"/>
      <c r="CH277" s="94"/>
    </row>
    <row r="278" spans="2:86" x14ac:dyDescent="0.25">
      <c r="B278" s="104">
        <f t="shared" si="244"/>
        <v>7</v>
      </c>
      <c r="C278" s="94">
        <v>8</v>
      </c>
      <c r="D278" s="94">
        <f t="shared" si="210"/>
        <v>7.984268369494496E-2</v>
      </c>
      <c r="E278" s="94">
        <f t="shared" si="211"/>
        <v>7.9864000000000004E-2</v>
      </c>
      <c r="F278" s="94">
        <f t="shared" si="240"/>
        <v>0.64012900000000006</v>
      </c>
      <c r="G278" s="94" t="e">
        <f t="shared" ca="1" si="212"/>
        <v>#N/A</v>
      </c>
      <c r="H278" s="94" t="e">
        <f t="shared" ca="1" si="213"/>
        <v>#N/A</v>
      </c>
      <c r="I278" s="161" t="e">
        <f t="shared" ca="1" si="214"/>
        <v>#N/A</v>
      </c>
      <c r="J278" s="156" t="e">
        <f t="shared" ca="1" si="256"/>
        <v>#N/A</v>
      </c>
      <c r="K278" s="160" t="e">
        <f t="shared" ca="1" si="241"/>
        <v>#N/A</v>
      </c>
      <c r="L278" s="101" t="e">
        <f t="shared" ca="1" si="215"/>
        <v>#N/A</v>
      </c>
      <c r="M278" s="101" t="e">
        <f t="shared" ca="1" si="216"/>
        <v>#N/A</v>
      </c>
      <c r="N278" s="101" t="e">
        <f t="shared" ca="1" si="242"/>
        <v>#N/A</v>
      </c>
      <c r="O278" s="285">
        <f t="shared" si="217"/>
        <v>7.984268369494496E-2</v>
      </c>
      <c r="P278" s="99">
        <f t="shared" si="218"/>
        <v>7.9864000000000004E-2</v>
      </c>
      <c r="Q278" s="99">
        <f t="shared" si="245"/>
        <v>0.64012900000000006</v>
      </c>
      <c r="R278" s="99" t="e">
        <f t="shared" ca="1" si="219"/>
        <v>#N/A</v>
      </c>
      <c r="S278" s="161" t="e">
        <f t="shared" ca="1" si="246"/>
        <v>#N/A</v>
      </c>
      <c r="T278" s="286" t="e">
        <f t="shared" ca="1" si="220"/>
        <v>#N/A</v>
      </c>
      <c r="U278" s="285">
        <f t="shared" si="221"/>
        <v>6.4927497927352515E-2</v>
      </c>
      <c r="V278" s="99">
        <f t="shared" si="243"/>
        <v>6.4939999999999998E-2</v>
      </c>
      <c r="W278" s="99">
        <f t="shared" si="247"/>
        <v>0.85635499999999998</v>
      </c>
      <c r="X278" s="99" t="e">
        <f t="shared" ca="1" si="222"/>
        <v>#N/A</v>
      </c>
      <c r="Y278" s="161" t="e">
        <f t="shared" ca="1" si="257"/>
        <v>#N/A</v>
      </c>
      <c r="Z278" s="286" t="e">
        <f t="shared" ca="1" si="223"/>
        <v>#N/A</v>
      </c>
      <c r="AA278" s="285">
        <f t="shared" si="224"/>
        <v>5.9167900428949788E-2</v>
      </c>
      <c r="AB278" s="99">
        <f t="shared" si="225"/>
        <v>5.9976000000000002E-2</v>
      </c>
      <c r="AC278" s="99">
        <f t="shared" si="248"/>
        <v>0.41126000000000007</v>
      </c>
      <c r="AD278" s="99" t="e">
        <f t="shared" ca="1" si="226"/>
        <v>#N/A</v>
      </c>
      <c r="AE278" s="161" t="e">
        <f t="shared" ca="1" si="249"/>
        <v>#N/A</v>
      </c>
      <c r="AF278" s="286" t="e">
        <f t="shared" ca="1" si="227"/>
        <v>#N/A</v>
      </c>
      <c r="AG278" s="285">
        <f t="shared" si="228"/>
        <v>7.5489857480263323E-2</v>
      </c>
      <c r="AH278" s="99">
        <f t="shared" si="229"/>
        <v>7.5617000000000004E-2</v>
      </c>
      <c r="AI278" s="99">
        <f t="shared" si="250"/>
        <v>0.47363999999999995</v>
      </c>
      <c r="AJ278" s="99" t="e">
        <f t="shared" ca="1" si="230"/>
        <v>#N/A</v>
      </c>
      <c r="AK278" s="161" t="e">
        <f t="shared" ca="1" si="251"/>
        <v>#N/A</v>
      </c>
      <c r="AL278" s="286" t="e">
        <f t="shared" ca="1" si="231"/>
        <v>#N/A</v>
      </c>
      <c r="AM278" s="285">
        <f t="shared" si="232"/>
        <v>7.6983157623102635E-2</v>
      </c>
      <c r="AN278" s="99">
        <f t="shared" si="233"/>
        <v>7.7101000000000003E-2</v>
      </c>
      <c r="AO278" s="99">
        <f t="shared" si="252"/>
        <v>0.41820800000000002</v>
      </c>
      <c r="AP278" s="99" t="e">
        <f t="shared" ca="1" si="234"/>
        <v>#N/A</v>
      </c>
      <c r="AQ278" s="161" t="e">
        <f t="shared" ca="1" si="253"/>
        <v>#N/A</v>
      </c>
      <c r="AR278" s="286" t="e">
        <f t="shared" ca="1" si="235"/>
        <v>#N/A</v>
      </c>
      <c r="AS278" s="285">
        <f t="shared" si="236"/>
        <v>7.7474860050435537E-2</v>
      </c>
      <c r="AT278" s="99">
        <f t="shared" si="237"/>
        <v>7.7514E-2</v>
      </c>
      <c r="AU278" s="99">
        <f t="shared" si="254"/>
        <v>0.59945800000000005</v>
      </c>
      <c r="AV278" s="99" t="e">
        <f t="shared" ca="1" si="238"/>
        <v>#N/A</v>
      </c>
      <c r="AW278" s="161" t="e">
        <f t="shared" ca="1" si="255"/>
        <v>#N/A</v>
      </c>
      <c r="AX278" s="286" t="e">
        <f t="shared" ca="1" si="239"/>
        <v>#N/A</v>
      </c>
      <c r="CD278"/>
      <c r="CE278"/>
      <c r="CG278" s="77"/>
      <c r="CH278" s="94"/>
    </row>
    <row r="279" spans="2:86" x14ac:dyDescent="0.25">
      <c r="B279" s="104">
        <f t="shared" si="244"/>
        <v>8</v>
      </c>
      <c r="C279" s="94">
        <v>9</v>
      </c>
      <c r="D279" s="94">
        <f t="shared" si="210"/>
        <v>6.6236325197247689E-2</v>
      </c>
      <c r="E279" s="94">
        <f t="shared" si="211"/>
        <v>6.6253999999999993E-2</v>
      </c>
      <c r="F279" s="94">
        <f t="shared" si="240"/>
        <v>0.70638300000000009</v>
      </c>
      <c r="G279" s="94" t="e">
        <f t="shared" ca="1" si="212"/>
        <v>#N/A</v>
      </c>
      <c r="H279" s="94" t="e">
        <f t="shared" ca="1" si="213"/>
        <v>#N/A</v>
      </c>
      <c r="I279" s="161" t="e">
        <f t="shared" ref="I279:I329" ca="1" si="258">IF((NOT(J279="n/a")),J279,ROUND(G279+I278,0))</f>
        <v>#N/A</v>
      </c>
      <c r="J279" s="156" t="e">
        <f t="shared" ca="1" si="256"/>
        <v>#N/A</v>
      </c>
      <c r="K279" s="160" t="e">
        <f t="shared" ca="1" si="241"/>
        <v>#N/A</v>
      </c>
      <c r="L279" s="101" t="e">
        <f t="shared" ca="1" si="215"/>
        <v>#N/A</v>
      </c>
      <c r="M279" s="101" t="e">
        <f t="shared" ca="1" si="216"/>
        <v>#N/A</v>
      </c>
      <c r="N279" s="101" t="e">
        <f t="shared" ca="1" si="242"/>
        <v>#N/A</v>
      </c>
      <c r="O279" s="285">
        <f t="shared" si="217"/>
        <v>6.6236325197247689E-2</v>
      </c>
      <c r="P279" s="99">
        <f t="shared" si="218"/>
        <v>6.6253999999999993E-2</v>
      </c>
      <c r="Q279" s="99">
        <f t="shared" si="245"/>
        <v>0.70638300000000009</v>
      </c>
      <c r="R279" s="99" t="e">
        <f t="shared" ca="1" si="219"/>
        <v>#N/A</v>
      </c>
      <c r="S279" s="161" t="e">
        <f t="shared" ca="1" si="246"/>
        <v>#N/A</v>
      </c>
      <c r="T279" s="286" t="e">
        <f t="shared" ca="1" si="220"/>
        <v>#N/A</v>
      </c>
      <c r="U279" s="285">
        <f t="shared" si="221"/>
        <v>4.4872095674499402E-2</v>
      </c>
      <c r="V279" s="99">
        <f t="shared" si="243"/>
        <v>4.4880999999999997E-2</v>
      </c>
      <c r="W279" s="99">
        <f t="shared" si="247"/>
        <v>0.90123599999999993</v>
      </c>
      <c r="X279" s="99" t="e">
        <f t="shared" ca="1" si="222"/>
        <v>#N/A</v>
      </c>
      <c r="Y279" s="161" t="e">
        <f t="shared" ca="1" si="257"/>
        <v>#N/A</v>
      </c>
      <c r="Z279" s="286" t="e">
        <f t="shared" ca="1" si="223"/>
        <v>#N/A</v>
      </c>
      <c r="AA279" s="285">
        <f t="shared" si="224"/>
        <v>5.4493775913654417E-2</v>
      </c>
      <c r="AB279" s="99">
        <f t="shared" si="225"/>
        <v>5.5238000000000002E-2</v>
      </c>
      <c r="AC279" s="99">
        <f t="shared" si="248"/>
        <v>0.46649800000000008</v>
      </c>
      <c r="AD279" s="99" t="e">
        <f t="shared" ca="1" si="226"/>
        <v>#N/A</v>
      </c>
      <c r="AE279" s="161" t="e">
        <f t="shared" ca="1" si="249"/>
        <v>#N/A</v>
      </c>
      <c r="AF279" s="286" t="e">
        <f t="shared" ca="1" si="227"/>
        <v>#N/A</v>
      </c>
      <c r="AG279" s="285">
        <f t="shared" si="228"/>
        <v>6.7973981865186578E-2</v>
      </c>
      <c r="AH279" s="99">
        <f t="shared" si="229"/>
        <v>6.8087999999999996E-2</v>
      </c>
      <c r="AI279" s="99">
        <f t="shared" si="250"/>
        <v>0.54172799999999999</v>
      </c>
      <c r="AJ279" s="99" t="e">
        <f t="shared" ca="1" si="230"/>
        <v>#N/A</v>
      </c>
      <c r="AK279" s="161" t="e">
        <f t="shared" ca="1" si="251"/>
        <v>#N/A</v>
      </c>
      <c r="AL279" s="286" t="e">
        <f t="shared" ca="1" si="231"/>
        <v>#N/A</v>
      </c>
      <c r="AM279" s="285">
        <f t="shared" si="232"/>
        <v>7.124390340542415E-2</v>
      </c>
      <c r="AN279" s="99">
        <f t="shared" si="233"/>
        <v>7.1353E-2</v>
      </c>
      <c r="AO279" s="99">
        <f t="shared" si="252"/>
        <v>0.48956100000000002</v>
      </c>
      <c r="AP279" s="99" t="e">
        <f t="shared" ca="1" si="234"/>
        <v>#N/A</v>
      </c>
      <c r="AQ279" s="161" t="e">
        <f t="shared" ca="1" si="253"/>
        <v>#N/A</v>
      </c>
      <c r="AR279" s="286" t="e">
        <f t="shared" ca="1" si="235"/>
        <v>#N/A</v>
      </c>
      <c r="AS279" s="285">
        <f t="shared" si="236"/>
        <v>6.5782767622335425E-2</v>
      </c>
      <c r="AT279" s="99">
        <f t="shared" si="237"/>
        <v>6.5816E-2</v>
      </c>
      <c r="AU279" s="99">
        <f t="shared" si="254"/>
        <v>0.66527400000000003</v>
      </c>
      <c r="AV279" s="99" t="e">
        <f t="shared" ca="1" si="238"/>
        <v>#N/A</v>
      </c>
      <c r="AW279" s="161" t="e">
        <f t="shared" ca="1" si="255"/>
        <v>#N/A</v>
      </c>
      <c r="AX279" s="286" t="e">
        <f t="shared" ca="1" si="239"/>
        <v>#N/A</v>
      </c>
      <c r="CD279"/>
      <c r="CE279"/>
      <c r="CG279" s="77"/>
      <c r="CH279" s="94"/>
    </row>
    <row r="280" spans="2:86" x14ac:dyDescent="0.25">
      <c r="B280" s="104">
        <f t="shared" si="244"/>
        <v>9</v>
      </c>
      <c r="C280" s="94">
        <v>10</v>
      </c>
      <c r="D280" s="94">
        <f t="shared" si="210"/>
        <v>5.426697552751053E-2</v>
      </c>
      <c r="E280" s="94">
        <f t="shared" si="211"/>
        <v>5.4281999999999997E-2</v>
      </c>
      <c r="F280" s="94">
        <f t="shared" si="240"/>
        <v>0.76066500000000015</v>
      </c>
      <c r="G280" s="94" t="e">
        <f t="shared" ca="1" si="212"/>
        <v>#N/A</v>
      </c>
      <c r="H280" s="94" t="e">
        <f t="shared" ca="1" si="213"/>
        <v>#N/A</v>
      </c>
      <c r="I280" s="161" t="e">
        <f t="shared" ca="1" si="258"/>
        <v>#N/A</v>
      </c>
      <c r="J280" s="156" t="e">
        <f t="shared" ca="1" si="256"/>
        <v>#N/A</v>
      </c>
      <c r="K280" s="160" t="e">
        <f t="shared" ca="1" si="241"/>
        <v>#N/A</v>
      </c>
      <c r="L280" s="101" t="e">
        <f t="shared" ca="1" si="215"/>
        <v>#N/A</v>
      </c>
      <c r="M280" s="101" t="e">
        <f t="shared" ca="1" si="216"/>
        <v>#N/A</v>
      </c>
      <c r="N280" s="101" t="e">
        <f t="shared" ca="1" si="242"/>
        <v>#N/A</v>
      </c>
      <c r="O280" s="285">
        <f t="shared" si="217"/>
        <v>5.426697552751053E-2</v>
      </c>
      <c r="P280" s="99">
        <f t="shared" si="218"/>
        <v>5.4281999999999997E-2</v>
      </c>
      <c r="Q280" s="99">
        <f t="shared" si="245"/>
        <v>0.76066500000000015</v>
      </c>
      <c r="R280" s="99" t="e">
        <f t="shared" ca="1" si="219"/>
        <v>#N/A</v>
      </c>
      <c r="S280" s="161" t="e">
        <f t="shared" ca="1" si="246"/>
        <v>#N/A</v>
      </c>
      <c r="T280" s="286" t="e">
        <f t="shared" ca="1" si="220"/>
        <v>#N/A</v>
      </c>
      <c r="U280" s="285">
        <f t="shared" si="221"/>
        <v>3.0731634933393429E-2</v>
      </c>
      <c r="V280" s="99">
        <f t="shared" si="243"/>
        <v>3.0738000000000001E-2</v>
      </c>
      <c r="W280" s="99">
        <f t="shared" si="247"/>
        <v>0.93197399999999997</v>
      </c>
      <c r="X280" s="99" t="e">
        <f t="shared" ca="1" si="222"/>
        <v>#N/A</v>
      </c>
      <c r="Y280" s="161" t="e">
        <f t="shared" ca="1" si="257"/>
        <v>#N/A</v>
      </c>
      <c r="Z280" s="286" t="e">
        <f t="shared" ca="1" si="223"/>
        <v>#N/A</v>
      </c>
      <c r="AA280" s="285">
        <f t="shared" si="224"/>
        <v>4.9709554295967538E-2</v>
      </c>
      <c r="AB280" s="99">
        <f t="shared" si="225"/>
        <v>5.0388000000000002E-2</v>
      </c>
      <c r="AC280" s="99">
        <f t="shared" si="248"/>
        <v>0.51688600000000007</v>
      </c>
      <c r="AD280" s="99" t="e">
        <f t="shared" ca="1" si="226"/>
        <v>#N/A</v>
      </c>
      <c r="AE280" s="161" t="e">
        <f t="shared" ca="1" si="249"/>
        <v>#N/A</v>
      </c>
      <c r="AF280" s="286" t="e">
        <f t="shared" ca="1" si="227"/>
        <v>#N/A</v>
      </c>
      <c r="AG280" s="285">
        <f t="shared" si="228"/>
        <v>6.0199255397116104E-2</v>
      </c>
      <c r="AH280" s="99">
        <f t="shared" si="229"/>
        <v>6.0299999999999999E-2</v>
      </c>
      <c r="AI280" s="99">
        <f t="shared" si="250"/>
        <v>0.60202800000000001</v>
      </c>
      <c r="AJ280" s="99" t="e">
        <f t="shared" ca="1" si="230"/>
        <v>#N/A</v>
      </c>
      <c r="AK280" s="161" t="e">
        <f t="shared" ca="1" si="251"/>
        <v>#N/A</v>
      </c>
      <c r="AL280" s="286" t="e">
        <f t="shared" ca="1" si="231"/>
        <v>#N/A</v>
      </c>
      <c r="AM280" s="285">
        <f t="shared" si="232"/>
        <v>6.445867259441472E-2</v>
      </c>
      <c r="AN280" s="99">
        <f t="shared" si="233"/>
        <v>6.4557000000000003E-2</v>
      </c>
      <c r="AO280" s="99">
        <f t="shared" si="252"/>
        <v>0.554118</v>
      </c>
      <c r="AP280" s="99" t="e">
        <f t="shared" ca="1" si="234"/>
        <v>#N/A</v>
      </c>
      <c r="AQ280" s="161" t="e">
        <f t="shared" ca="1" si="253"/>
        <v>#N/A</v>
      </c>
      <c r="AR280" s="286" t="e">
        <f t="shared" ca="1" si="235"/>
        <v>#N/A</v>
      </c>
      <c r="AS280" s="285">
        <f t="shared" si="236"/>
        <v>5.5199570879851272E-2</v>
      </c>
      <c r="AT280" s="99">
        <f t="shared" si="237"/>
        <v>5.5226999999999998E-2</v>
      </c>
      <c r="AU280" s="99">
        <f>AT280+AU279</f>
        <v>0.72050100000000006</v>
      </c>
      <c r="AV280" s="99" t="e">
        <f t="shared" ca="1" si="238"/>
        <v>#N/A</v>
      </c>
      <c r="AW280" s="161" t="e">
        <f ca="1">ROUND(AV280+AW279,0)</f>
        <v>#N/A</v>
      </c>
      <c r="AX280" s="286" t="e">
        <f ca="1">IF(NOT($J280="n/a"),($J280/AU280),0)</f>
        <v>#N/A</v>
      </c>
      <c r="CD280"/>
      <c r="CE280"/>
      <c r="CG280" s="77"/>
      <c r="CH280" s="94"/>
    </row>
    <row r="281" spans="2:86" x14ac:dyDescent="0.25">
      <c r="B281" s="104">
        <f t="shared" si="244"/>
        <v>10</v>
      </c>
      <c r="C281" s="94">
        <v>11</v>
      </c>
      <c r="D281" s="94">
        <f t="shared" si="210"/>
        <v>4.4142780979517522E-2</v>
      </c>
      <c r="E281" s="94">
        <f t="shared" si="211"/>
        <v>4.4155E-2</v>
      </c>
      <c r="F281" s="94">
        <f t="shared" si="240"/>
        <v>0.80482000000000009</v>
      </c>
      <c r="G281" s="94" t="e">
        <f t="shared" ca="1" si="212"/>
        <v>#N/A</v>
      </c>
      <c r="H281" s="94" t="e">
        <f t="shared" ca="1" si="213"/>
        <v>#N/A</v>
      </c>
      <c r="I281" s="161" t="e">
        <f t="shared" ca="1" si="258"/>
        <v>#N/A</v>
      </c>
      <c r="J281" s="156" t="e">
        <f t="shared" ca="1" si="256"/>
        <v>#N/A</v>
      </c>
      <c r="K281" s="160" t="e">
        <f t="shared" ca="1" si="241"/>
        <v>#N/A</v>
      </c>
      <c r="L281" s="101" t="e">
        <f t="shared" ca="1" si="215"/>
        <v>#N/A</v>
      </c>
      <c r="M281" s="101" t="e">
        <f t="shared" ca="1" si="216"/>
        <v>#N/A</v>
      </c>
      <c r="N281" s="101" t="e">
        <f t="shared" ca="1" si="242"/>
        <v>#N/A</v>
      </c>
      <c r="O281" s="285">
        <f t="shared" si="217"/>
        <v>4.4142780979517522E-2</v>
      </c>
      <c r="P281" s="99">
        <f t="shared" si="218"/>
        <v>4.4155E-2</v>
      </c>
      <c r="Q281" s="99">
        <f t="shared" si="245"/>
        <v>0.80482000000000009</v>
      </c>
      <c r="R281" s="99" t="e">
        <f t="shared" ca="1" si="219"/>
        <v>#N/A</v>
      </c>
      <c r="S281" s="161" t="e">
        <f t="shared" ca="1" si="246"/>
        <v>#N/A</v>
      </c>
      <c r="T281" s="286" t="e">
        <f t="shared" ca="1" si="220"/>
        <v>#N/A</v>
      </c>
      <c r="U281" s="285">
        <f t="shared" si="221"/>
        <v>2.0984831053098434E-2</v>
      </c>
      <c r="V281" s="99">
        <f t="shared" si="243"/>
        <v>2.0989000000000001E-2</v>
      </c>
      <c r="W281" s="99">
        <f t="shared" si="247"/>
        <v>0.952963</v>
      </c>
      <c r="X281" s="99" t="e">
        <f t="shared" ca="1" si="222"/>
        <v>#N/A</v>
      </c>
      <c r="Y281" s="161" t="e">
        <f t="shared" ca="1" si="257"/>
        <v>#N/A</v>
      </c>
      <c r="Z281" s="286" t="e">
        <f t="shared" ca="1" si="223"/>
        <v>#N/A</v>
      </c>
      <c r="AA281" s="285">
        <f t="shared" si="224"/>
        <v>4.5069487747809105E-2</v>
      </c>
      <c r="AB281" s="99">
        <f t="shared" si="225"/>
        <v>4.5685000000000003E-2</v>
      </c>
      <c r="AC281" s="99">
        <f t="shared" si="248"/>
        <v>0.56257100000000004</v>
      </c>
      <c r="AD281" s="99" t="e">
        <f t="shared" ca="1" si="226"/>
        <v>#N/A</v>
      </c>
      <c r="AE281" s="161" t="e">
        <f t="shared" ca="1" si="249"/>
        <v>#N/A</v>
      </c>
      <c r="AF281" s="286" t="e">
        <f t="shared" ca="1" si="227"/>
        <v>#N/A</v>
      </c>
      <c r="AG281" s="285">
        <f t="shared" si="228"/>
        <v>5.2735342931846403E-2</v>
      </c>
      <c r="AH281" s="99">
        <f t="shared" si="229"/>
        <v>5.2824000000000003E-2</v>
      </c>
      <c r="AI281" s="99">
        <f t="shared" si="250"/>
        <v>0.65485199999999999</v>
      </c>
      <c r="AJ281" s="99" t="e">
        <f t="shared" ca="1" si="230"/>
        <v>#N/A</v>
      </c>
      <c r="AK281" s="161" t="e">
        <f t="shared" ca="1" si="251"/>
        <v>#N/A</v>
      </c>
      <c r="AL281" s="286" t="e">
        <f t="shared" ca="1" si="231"/>
        <v>#N/A</v>
      </c>
      <c r="AM281" s="285">
        <f t="shared" si="232"/>
        <v>5.7423145761915054E-2</v>
      </c>
      <c r="AN281" s="99">
        <f t="shared" si="233"/>
        <v>5.7511E-2</v>
      </c>
      <c r="AO281" s="99">
        <f t="shared" si="252"/>
        <v>0.61162899999999998</v>
      </c>
      <c r="AP281" s="99" t="e">
        <f t="shared" ca="1" si="234"/>
        <v>#N/A</v>
      </c>
      <c r="AQ281" s="161" t="e">
        <f t="shared" ca="1" si="253"/>
        <v>#N/A</v>
      </c>
      <c r="AR281" s="286" t="e">
        <f t="shared" ca="1" si="235"/>
        <v>#N/A</v>
      </c>
      <c r="AS281" s="285">
        <f t="shared" si="236"/>
        <v>4.6000045624271471E-2</v>
      </c>
      <c r="AT281" s="99">
        <f t="shared" si="237"/>
        <v>4.6023000000000001E-2</v>
      </c>
      <c r="AU281" s="99">
        <f t="shared" si="254"/>
        <v>0.76652400000000009</v>
      </c>
      <c r="AV281" s="99" t="e">
        <f t="shared" ca="1" si="238"/>
        <v>#N/A</v>
      </c>
      <c r="AW281" s="161" t="e">
        <f t="shared" ca="1" si="255"/>
        <v>#N/A</v>
      </c>
      <c r="AX281" s="286" t="e">
        <f t="shared" ca="1" si="239"/>
        <v>#N/A</v>
      </c>
      <c r="CD281"/>
      <c r="CE281"/>
      <c r="CG281" s="77"/>
      <c r="CH281" s="94"/>
    </row>
    <row r="282" spans="2:86" x14ac:dyDescent="0.25">
      <c r="B282" s="104">
        <f t="shared" si="244"/>
        <v>11</v>
      </c>
      <c r="C282" s="94">
        <v>12</v>
      </c>
      <c r="D282" s="94">
        <f t="shared" si="210"/>
        <v>3.5773315337859504E-2</v>
      </c>
      <c r="E282" s="94">
        <f t="shared" si="211"/>
        <v>3.5783000000000002E-2</v>
      </c>
      <c r="F282" s="94">
        <f t="shared" si="240"/>
        <v>0.8406030000000001</v>
      </c>
      <c r="G282" s="94" t="e">
        <f t="shared" ca="1" si="212"/>
        <v>#N/A</v>
      </c>
      <c r="H282" s="94" t="e">
        <f t="shared" ca="1" si="213"/>
        <v>#N/A</v>
      </c>
      <c r="I282" s="161" t="e">
        <f t="shared" ca="1" si="258"/>
        <v>#N/A</v>
      </c>
      <c r="J282" s="156" t="e">
        <f t="shared" ca="1" si="256"/>
        <v>#N/A</v>
      </c>
      <c r="K282" s="160" t="e">
        <f t="shared" ca="1" si="241"/>
        <v>#N/A</v>
      </c>
      <c r="L282" s="101" t="e">
        <f t="shared" ca="1" si="215"/>
        <v>#N/A</v>
      </c>
      <c r="M282" s="101" t="e">
        <f t="shared" ca="1" si="216"/>
        <v>#N/A</v>
      </c>
      <c r="N282" s="101" t="e">
        <f t="shared" ca="1" si="242"/>
        <v>#N/A</v>
      </c>
      <c r="O282" s="285">
        <f t="shared" si="217"/>
        <v>3.5773315337859504E-2</v>
      </c>
      <c r="P282" s="99">
        <f t="shared" si="218"/>
        <v>3.5783000000000002E-2</v>
      </c>
      <c r="Q282" s="99">
        <f t="shared" si="245"/>
        <v>0.8406030000000001</v>
      </c>
      <c r="R282" s="99" t="e">
        <f t="shared" ca="1" si="219"/>
        <v>#N/A</v>
      </c>
      <c r="S282" s="161" t="e">
        <f t="shared" ca="1" si="246"/>
        <v>#N/A</v>
      </c>
      <c r="T282" s="286" t="e">
        <f t="shared" ca="1" si="220"/>
        <v>#N/A</v>
      </c>
      <c r="U282" s="285">
        <f t="shared" si="221"/>
        <v>1.4340851211402663E-2</v>
      </c>
      <c r="V282" s="99">
        <f t="shared" si="243"/>
        <v>1.4344000000000001E-2</v>
      </c>
      <c r="W282" s="99">
        <f t="shared" si="247"/>
        <v>0.96730700000000003</v>
      </c>
      <c r="X282" s="99" t="e">
        <f t="shared" ca="1" si="222"/>
        <v>#N/A</v>
      </c>
      <c r="Y282" s="161" t="e">
        <f t="shared" ca="1" si="257"/>
        <v>#N/A</v>
      </c>
      <c r="Z282" s="286" t="e">
        <f t="shared" ca="1" si="223"/>
        <v>#N/A</v>
      </c>
      <c r="AA282" s="285">
        <f t="shared" si="224"/>
        <v>4.070757001213849E-2</v>
      </c>
      <c r="AB282" s="99">
        <f t="shared" si="225"/>
        <v>4.1263000000000001E-2</v>
      </c>
      <c r="AC282" s="99">
        <f t="shared" si="248"/>
        <v>0.60383400000000009</v>
      </c>
      <c r="AD282" s="99" t="e">
        <f t="shared" ca="1" si="226"/>
        <v>#N/A</v>
      </c>
      <c r="AE282" s="161" t="e">
        <f t="shared" ca="1" si="249"/>
        <v>#N/A</v>
      </c>
      <c r="AF282" s="286" t="e">
        <f t="shared" ca="1" si="227"/>
        <v>#N/A</v>
      </c>
      <c r="AG282" s="285">
        <f t="shared" si="228"/>
        <v>4.586850700135181E-2</v>
      </c>
      <c r="AH282" s="99">
        <f t="shared" si="229"/>
        <v>4.5946000000000001E-2</v>
      </c>
      <c r="AI282" s="99">
        <f t="shared" si="250"/>
        <v>0.70079800000000003</v>
      </c>
      <c r="AJ282" s="99" t="e">
        <f t="shared" ca="1" si="230"/>
        <v>#N/A</v>
      </c>
      <c r="AK282" s="161" t="e">
        <f t="shared" ca="1" si="251"/>
        <v>#N/A</v>
      </c>
      <c r="AL282" s="286" t="e">
        <f t="shared" ca="1" si="231"/>
        <v>#N/A</v>
      </c>
      <c r="AM282" s="285">
        <f t="shared" si="232"/>
        <v>5.0610825129264535E-2</v>
      </c>
      <c r="AN282" s="99">
        <f t="shared" si="233"/>
        <v>5.0687999999999997E-2</v>
      </c>
      <c r="AO282" s="99">
        <f t="shared" si="252"/>
        <v>0.66231699999999993</v>
      </c>
      <c r="AP282" s="99" t="e">
        <f t="shared" ca="1" si="234"/>
        <v>#N/A</v>
      </c>
      <c r="AQ282" s="161" t="e">
        <f t="shared" ca="1" si="253"/>
        <v>#N/A</v>
      </c>
      <c r="AR282" s="286" t="e">
        <f t="shared" ca="1" si="235"/>
        <v>#N/A</v>
      </c>
      <c r="AS282" s="285">
        <f t="shared" si="236"/>
        <v>3.8190782877931866E-2</v>
      </c>
      <c r="AT282" s="99">
        <f t="shared" si="237"/>
        <v>3.8210000000000001E-2</v>
      </c>
      <c r="AU282" s="99">
        <f t="shared" si="254"/>
        <v>0.80473400000000006</v>
      </c>
      <c r="AV282" s="99" t="e">
        <f t="shared" ca="1" si="238"/>
        <v>#N/A</v>
      </c>
      <c r="AW282" s="161" t="e">
        <f t="shared" ca="1" si="255"/>
        <v>#N/A</v>
      </c>
      <c r="AX282" s="286" t="e">
        <f t="shared" ca="1" si="239"/>
        <v>#N/A</v>
      </c>
      <c r="BG282" s="345"/>
      <c r="BH282" s="345"/>
      <c r="BI282" s="345"/>
      <c r="BJ282" s="345"/>
      <c r="BK282" s="345"/>
      <c r="BL282" s="345"/>
    </row>
    <row r="283" spans="2:86" x14ac:dyDescent="0.25">
      <c r="B283" s="104">
        <f t="shared" si="244"/>
        <v>12</v>
      </c>
      <c r="C283" s="94">
        <v>13</v>
      </c>
      <c r="D283" s="94">
        <f t="shared" si="210"/>
        <v>2.8948107648074713E-2</v>
      </c>
      <c r="E283" s="94">
        <f t="shared" si="211"/>
        <v>2.8955999999999999E-2</v>
      </c>
      <c r="F283" s="94">
        <f t="shared" si="240"/>
        <v>0.86955900000000008</v>
      </c>
      <c r="G283" s="94" t="e">
        <f t="shared" ca="1" si="212"/>
        <v>#N/A</v>
      </c>
      <c r="H283" s="94" t="e">
        <f t="shared" ca="1" si="213"/>
        <v>#N/A</v>
      </c>
      <c r="I283" s="161" t="e">
        <f t="shared" ca="1" si="258"/>
        <v>#N/A</v>
      </c>
      <c r="J283" s="156" t="e">
        <f t="shared" ca="1" si="256"/>
        <v>#N/A</v>
      </c>
      <c r="K283" s="160" t="e">
        <f t="shared" ca="1" si="241"/>
        <v>#N/A</v>
      </c>
      <c r="L283" s="101" t="e">
        <f t="shared" ca="1" si="215"/>
        <v>#N/A</v>
      </c>
      <c r="M283" s="101" t="e">
        <f t="shared" ca="1" si="216"/>
        <v>#N/A</v>
      </c>
      <c r="N283" s="101" t="e">
        <f t="shared" ca="1" si="242"/>
        <v>#N/A</v>
      </c>
      <c r="O283" s="285">
        <f t="shared" si="217"/>
        <v>2.8948107648074713E-2</v>
      </c>
      <c r="P283" s="99">
        <f t="shared" si="218"/>
        <v>2.8955999999999999E-2</v>
      </c>
      <c r="Q283" s="99">
        <f t="shared" si="245"/>
        <v>0.86955900000000008</v>
      </c>
      <c r="R283" s="99" t="e">
        <f t="shared" ca="1" si="219"/>
        <v>#N/A</v>
      </c>
      <c r="S283" s="161" t="e">
        <f t="shared" ca="1" si="246"/>
        <v>#N/A</v>
      </c>
      <c r="T283" s="286" t="e">
        <f t="shared" ca="1" si="220"/>
        <v>#N/A</v>
      </c>
      <c r="U283" s="285">
        <f t="shared" si="221"/>
        <v>9.8315250830436716E-3</v>
      </c>
      <c r="V283" s="99">
        <f t="shared" si="243"/>
        <v>9.8329999999999997E-3</v>
      </c>
      <c r="W283" s="99">
        <f t="shared" si="247"/>
        <v>0.97714000000000001</v>
      </c>
      <c r="X283" s="99" t="e">
        <f t="shared" ca="1" si="222"/>
        <v>#N/A</v>
      </c>
      <c r="Y283" s="161" t="e">
        <f t="shared" ca="1" si="257"/>
        <v>#N/A</v>
      </c>
      <c r="Z283" s="286" t="e">
        <f t="shared" ca="1" si="223"/>
        <v>#N/A</v>
      </c>
      <c r="AA283" s="285">
        <f t="shared" si="224"/>
        <v>3.6685467046749132E-2</v>
      </c>
      <c r="AB283" s="99">
        <f t="shared" si="225"/>
        <v>3.7185999999999997E-2</v>
      </c>
      <c r="AC283" s="99">
        <f t="shared" si="248"/>
        <v>0.64102000000000015</v>
      </c>
      <c r="AD283" s="99" t="e">
        <f t="shared" ca="1" si="226"/>
        <v>#N/A</v>
      </c>
      <c r="AE283" s="161" t="e">
        <f t="shared" ca="1" si="249"/>
        <v>#N/A</v>
      </c>
      <c r="AF283" s="286" t="e">
        <f t="shared" ca="1" si="227"/>
        <v>#N/A</v>
      </c>
      <c r="AG283" s="285">
        <f t="shared" si="228"/>
        <v>3.9714540172914051E-2</v>
      </c>
      <c r="AH283" s="99">
        <f t="shared" si="229"/>
        <v>3.9780999999999997E-2</v>
      </c>
      <c r="AI283" s="99">
        <f t="shared" si="250"/>
        <v>0.74057899999999999</v>
      </c>
      <c r="AJ283" s="99" t="e">
        <f t="shared" ca="1" si="230"/>
        <v>#N/A</v>
      </c>
      <c r="AK283" s="161" t="e">
        <f t="shared" ca="1" si="251"/>
        <v>#N/A</v>
      </c>
      <c r="AL283" s="286" t="e">
        <f t="shared" ca="1" si="231"/>
        <v>#N/A</v>
      </c>
      <c r="AM283" s="285">
        <f t="shared" si="232"/>
        <v>4.4278177234861243E-2</v>
      </c>
      <c r="AN283" s="99">
        <f t="shared" si="233"/>
        <v>4.4345999999999997E-2</v>
      </c>
      <c r="AO283" s="99">
        <f t="shared" si="252"/>
        <v>0.70666299999999993</v>
      </c>
      <c r="AP283" s="99" t="e">
        <f t="shared" ca="1" si="234"/>
        <v>#N/A</v>
      </c>
      <c r="AQ283" s="161" t="e">
        <f t="shared" ca="1" si="253"/>
        <v>#N/A</v>
      </c>
      <c r="AR283" s="286" t="e">
        <f t="shared" ca="1" si="235"/>
        <v>#N/A</v>
      </c>
      <c r="AS283" s="285">
        <f t="shared" si="236"/>
        <v>3.1655690048766165E-2</v>
      </c>
      <c r="AT283" s="99">
        <f t="shared" si="237"/>
        <v>3.1671999999999999E-2</v>
      </c>
      <c r="AU283" s="99">
        <f t="shared" si="254"/>
        <v>0.83640600000000009</v>
      </c>
      <c r="AV283" s="99" t="e">
        <f t="shared" ca="1" si="238"/>
        <v>#N/A</v>
      </c>
      <c r="AW283" s="161" t="e">
        <f t="shared" ca="1" si="255"/>
        <v>#N/A</v>
      </c>
      <c r="AX283" s="286" t="e">
        <f t="shared" ca="1" si="239"/>
        <v>#N/A</v>
      </c>
    </row>
    <row r="284" spans="2:86" x14ac:dyDescent="0.25">
      <c r="B284" s="104">
        <f t="shared" si="244"/>
        <v>13</v>
      </c>
      <c r="C284" s="94">
        <v>14</v>
      </c>
      <c r="D284" s="94">
        <f t="shared" si="210"/>
        <v>2.3426388510166384E-2</v>
      </c>
      <c r="E284" s="94">
        <f t="shared" si="211"/>
        <v>2.3432999999999999E-2</v>
      </c>
      <c r="F284" s="94">
        <f t="shared" si="240"/>
        <v>0.89299200000000012</v>
      </c>
      <c r="G284" s="94" t="e">
        <f t="shared" ca="1" si="212"/>
        <v>#N/A</v>
      </c>
      <c r="H284" s="94" t="e">
        <f t="shared" ca="1" si="213"/>
        <v>#N/A</v>
      </c>
      <c r="I284" s="161" t="e">
        <f t="shared" ca="1" si="258"/>
        <v>#N/A</v>
      </c>
      <c r="J284" s="156" t="e">
        <f t="shared" ca="1" si="256"/>
        <v>#N/A</v>
      </c>
      <c r="K284" s="160" t="e">
        <f t="shared" ca="1" si="241"/>
        <v>#N/A</v>
      </c>
      <c r="L284" s="101" t="e">
        <f t="shared" ca="1" si="215"/>
        <v>#N/A</v>
      </c>
      <c r="M284" s="101" t="e">
        <f t="shared" ca="1" si="216"/>
        <v>#N/A</v>
      </c>
      <c r="N284" s="101" t="e">
        <f t="shared" ca="1" si="242"/>
        <v>#N/A</v>
      </c>
      <c r="O284" s="285">
        <f t="shared" si="217"/>
        <v>2.3426388510166384E-2</v>
      </c>
      <c r="P284" s="99">
        <f t="shared" si="218"/>
        <v>2.3432999999999999E-2</v>
      </c>
      <c r="Q284" s="99">
        <f t="shared" si="245"/>
        <v>0.89299200000000012</v>
      </c>
      <c r="R284" s="99" t="e">
        <f t="shared" ca="1" si="219"/>
        <v>#N/A</v>
      </c>
      <c r="S284" s="161" t="e">
        <f t="shared" ca="1" si="246"/>
        <v>#N/A</v>
      </c>
      <c r="T284" s="286" t="e">
        <f t="shared" ca="1" si="220"/>
        <v>#N/A</v>
      </c>
      <c r="U284" s="285">
        <f t="shared" si="221"/>
        <v>6.7715279403981416E-3</v>
      </c>
      <c r="V284" s="99">
        <f t="shared" si="243"/>
        <v>6.7730000000000004E-3</v>
      </c>
      <c r="W284" s="99">
        <f t="shared" si="247"/>
        <v>0.98391300000000004</v>
      </c>
      <c r="X284" s="99" t="e">
        <f t="shared" ca="1" si="222"/>
        <v>#N/A</v>
      </c>
      <c r="Y284" s="161" t="e">
        <f t="shared" ca="1" si="257"/>
        <v>#N/A</v>
      </c>
      <c r="Z284" s="286" t="e">
        <f t="shared" ca="1" si="223"/>
        <v>#N/A</v>
      </c>
      <c r="AA284" s="285">
        <f t="shared" si="224"/>
        <v>3.3022213274987701E-2</v>
      </c>
      <c r="AB284" s="99">
        <f t="shared" si="225"/>
        <v>3.3473000000000003E-2</v>
      </c>
      <c r="AC284" s="99">
        <f t="shared" si="248"/>
        <v>0.67449300000000012</v>
      </c>
      <c r="AD284" s="99" t="e">
        <f t="shared" ca="1" si="226"/>
        <v>#N/A</v>
      </c>
      <c r="AE284" s="161" t="e">
        <f t="shared" ca="1" si="249"/>
        <v>#N/A</v>
      </c>
      <c r="AF284" s="286" t="e">
        <f t="shared" ca="1" si="227"/>
        <v>#N/A</v>
      </c>
      <c r="AG284" s="285">
        <f t="shared" si="228"/>
        <v>3.4291615897439523E-2</v>
      </c>
      <c r="AH284" s="99">
        <f t="shared" si="229"/>
        <v>3.4348999999999998E-2</v>
      </c>
      <c r="AI284" s="99">
        <f t="shared" si="250"/>
        <v>0.77492799999999995</v>
      </c>
      <c r="AJ284" s="99" t="e">
        <f t="shared" ca="1" si="230"/>
        <v>#N/A</v>
      </c>
      <c r="AK284" s="161" t="e">
        <f t="shared" ca="1" si="251"/>
        <v>#N/A</v>
      </c>
      <c r="AL284" s="286" t="e">
        <f t="shared" ca="1" si="231"/>
        <v>#N/A</v>
      </c>
      <c r="AM284" s="285">
        <f t="shared" si="232"/>
        <v>3.8542980052993947E-2</v>
      </c>
      <c r="AN284" s="99">
        <f t="shared" si="233"/>
        <v>3.8601999999999997E-2</v>
      </c>
      <c r="AO284" s="99">
        <f t="shared" si="252"/>
        <v>0.74526499999999996</v>
      </c>
      <c r="AP284" s="99" t="e">
        <f t="shared" ca="1" si="234"/>
        <v>#N/A</v>
      </c>
      <c r="AQ284" s="161" t="e">
        <f t="shared" ca="1" si="253"/>
        <v>#N/A</v>
      </c>
      <c r="AR284" s="286" t="e">
        <f t="shared" ca="1" si="235"/>
        <v>#N/A</v>
      </c>
      <c r="AS284" s="285">
        <f t="shared" si="236"/>
        <v>2.6233462435251379E-2</v>
      </c>
      <c r="AT284" s="99">
        <f t="shared" si="237"/>
        <v>2.6246999999999999E-2</v>
      </c>
      <c r="AU284" s="99">
        <f t="shared" si="254"/>
        <v>0.86265300000000011</v>
      </c>
      <c r="AV284" s="99" t="e">
        <f t="shared" ca="1" si="238"/>
        <v>#N/A</v>
      </c>
      <c r="AW284" s="161" t="e">
        <f t="shared" ca="1" si="255"/>
        <v>#N/A</v>
      </c>
      <c r="AX284" s="286" t="e">
        <f t="shared" ca="1" si="239"/>
        <v>#N/A</v>
      </c>
    </row>
    <row r="285" spans="2:86" x14ac:dyDescent="0.25">
      <c r="B285" s="104">
        <f t="shared" si="244"/>
        <v>14</v>
      </c>
      <c r="C285" s="94">
        <v>15</v>
      </c>
      <c r="D285" s="94">
        <f t="shared" si="210"/>
        <v>1.8978601583634968E-2</v>
      </c>
      <c r="E285" s="94">
        <f t="shared" si="211"/>
        <v>1.8984000000000001E-2</v>
      </c>
      <c r="F285" s="94">
        <f t="shared" si="240"/>
        <v>0.91197600000000012</v>
      </c>
      <c r="G285" s="94" t="e">
        <f t="shared" ca="1" si="212"/>
        <v>#N/A</v>
      </c>
      <c r="H285" s="94" t="e">
        <f t="shared" ca="1" si="213"/>
        <v>#N/A</v>
      </c>
      <c r="I285" s="161" t="e">
        <f t="shared" ca="1" si="258"/>
        <v>#N/A</v>
      </c>
      <c r="J285" s="156" t="e">
        <f t="shared" ca="1" si="256"/>
        <v>#N/A</v>
      </c>
      <c r="K285" s="160" t="e">
        <f t="shared" ca="1" si="241"/>
        <v>#N/A</v>
      </c>
      <c r="L285" s="101" t="e">
        <f t="shared" ca="1" si="215"/>
        <v>#N/A</v>
      </c>
      <c r="M285" s="101" t="e">
        <f t="shared" ca="1" si="216"/>
        <v>#N/A</v>
      </c>
      <c r="N285" s="101" t="e">
        <f t="shared" ca="1" si="242"/>
        <v>#N/A</v>
      </c>
      <c r="O285" s="285">
        <f t="shared" si="217"/>
        <v>1.8978601583634968E-2</v>
      </c>
      <c r="P285" s="99">
        <f t="shared" si="218"/>
        <v>1.8984000000000001E-2</v>
      </c>
      <c r="Q285" s="99">
        <f t="shared" si="245"/>
        <v>0.91197600000000012</v>
      </c>
      <c r="R285" s="99" t="e">
        <f t="shared" ca="1" si="219"/>
        <v>#N/A</v>
      </c>
      <c r="S285" s="161" t="e">
        <f t="shared" ca="1" si="246"/>
        <v>#N/A</v>
      </c>
      <c r="T285" s="286" t="e">
        <f t="shared" ca="1" si="220"/>
        <v>#N/A</v>
      </c>
      <c r="U285" s="285">
        <f t="shared" si="221"/>
        <v>4.6899599525238476E-3</v>
      </c>
      <c r="V285" s="99">
        <f t="shared" si="243"/>
        <v>4.6909999999999999E-3</v>
      </c>
      <c r="W285" s="99">
        <f t="shared" si="247"/>
        <v>0.98860400000000004</v>
      </c>
      <c r="X285" s="99" t="e">
        <f t="shared" ca="1" si="222"/>
        <v>#N/A</v>
      </c>
      <c r="Y285" s="161" t="e">
        <f t="shared" ca="1" si="257"/>
        <v>#N/A</v>
      </c>
      <c r="Z285" s="286" t="e">
        <f t="shared" ca="1" si="223"/>
        <v>#N/A</v>
      </c>
      <c r="AA285" s="285">
        <f t="shared" si="224"/>
        <v>2.9712464069819585E-2</v>
      </c>
      <c r="AB285" s="99">
        <f t="shared" si="225"/>
        <v>3.0117999999999999E-2</v>
      </c>
      <c r="AC285" s="99">
        <f t="shared" si="248"/>
        <v>0.7046110000000001</v>
      </c>
      <c r="AD285" s="99" t="e">
        <f t="shared" ca="1" si="226"/>
        <v>#N/A</v>
      </c>
      <c r="AE285" s="161" t="e">
        <f t="shared" ca="1" si="249"/>
        <v>#N/A</v>
      </c>
      <c r="AF285" s="286" t="e">
        <f t="shared" ca="1" si="227"/>
        <v>#N/A</v>
      </c>
      <c r="AG285" s="285">
        <f t="shared" si="228"/>
        <v>2.9565425918973265E-2</v>
      </c>
      <c r="AH285" s="99">
        <f t="shared" si="229"/>
        <v>2.9614999999999999E-2</v>
      </c>
      <c r="AI285" s="99">
        <f t="shared" si="250"/>
        <v>0.8045429999999999</v>
      </c>
      <c r="AJ285" s="99" t="e">
        <f t="shared" ca="1" si="230"/>
        <v>#N/A</v>
      </c>
      <c r="AK285" s="161" t="e">
        <f t="shared" ca="1" si="251"/>
        <v>#N/A</v>
      </c>
      <c r="AL285" s="286" t="e">
        <f t="shared" ca="1" si="231"/>
        <v>#N/A</v>
      </c>
      <c r="AM285" s="285">
        <f t="shared" si="232"/>
        <v>3.3438414981126388E-2</v>
      </c>
      <c r="AN285" s="99">
        <f t="shared" si="233"/>
        <v>3.3489999999999999E-2</v>
      </c>
      <c r="AO285" s="99">
        <f t="shared" si="252"/>
        <v>0.77875499999999998</v>
      </c>
      <c r="AP285" s="99" t="e">
        <f t="shared" ca="1" si="234"/>
        <v>#N/A</v>
      </c>
      <c r="AQ285" s="161" t="e">
        <f t="shared" ca="1" si="253"/>
        <v>#N/A</v>
      </c>
      <c r="AR285" s="286" t="e">
        <f t="shared" ca="1" si="235"/>
        <v>#N/A</v>
      </c>
      <c r="AS285" s="285">
        <f t="shared" si="236"/>
        <v>2.1756612076269315E-2</v>
      </c>
      <c r="AT285" s="99">
        <f t="shared" si="237"/>
        <v>2.1767999999999999E-2</v>
      </c>
      <c r="AU285" s="99">
        <f t="shared" si="254"/>
        <v>0.88442100000000012</v>
      </c>
      <c r="AV285" s="99" t="e">
        <f t="shared" ca="1" si="238"/>
        <v>#N/A</v>
      </c>
      <c r="AW285" s="161" t="e">
        <f t="shared" ca="1" si="255"/>
        <v>#N/A</v>
      </c>
      <c r="AX285" s="286" t="e">
        <f t="shared" ca="1" si="239"/>
        <v>#N/A</v>
      </c>
    </row>
    <row r="286" spans="2:86" x14ac:dyDescent="0.25">
      <c r="B286" s="104">
        <f t="shared" si="244"/>
        <v>15</v>
      </c>
      <c r="C286" s="94">
        <v>16</v>
      </c>
      <c r="D286" s="94">
        <f t="shared" si="210"/>
        <v>1.5402900581428947E-2</v>
      </c>
      <c r="E286" s="94">
        <f t="shared" si="211"/>
        <v>1.5407000000000001E-2</v>
      </c>
      <c r="F286" s="94">
        <f t="shared" si="240"/>
        <v>0.92738300000000007</v>
      </c>
      <c r="G286" s="94" t="e">
        <f t="shared" ca="1" si="212"/>
        <v>#N/A</v>
      </c>
      <c r="H286" s="94" t="e">
        <f t="shared" ca="1" si="213"/>
        <v>#N/A</v>
      </c>
      <c r="I286" s="161" t="e">
        <f t="shared" ca="1" si="258"/>
        <v>#N/A</v>
      </c>
      <c r="J286" s="156" t="e">
        <f t="shared" ca="1" si="256"/>
        <v>#N/A</v>
      </c>
      <c r="K286" s="160" t="e">
        <f t="shared" ca="1" si="241"/>
        <v>#N/A</v>
      </c>
      <c r="L286" s="101" t="e">
        <f t="shared" ca="1" si="215"/>
        <v>#N/A</v>
      </c>
      <c r="M286" s="101" t="e">
        <f t="shared" ca="1" si="216"/>
        <v>#N/A</v>
      </c>
      <c r="N286" s="101" t="e">
        <f t="shared" ca="1" si="242"/>
        <v>#N/A</v>
      </c>
      <c r="O286" s="285">
        <f t="shared" si="217"/>
        <v>1.5402900581428947E-2</v>
      </c>
      <c r="P286" s="99">
        <f t="shared" si="218"/>
        <v>1.5407000000000001E-2</v>
      </c>
      <c r="Q286" s="99">
        <f t="shared" si="245"/>
        <v>0.92738300000000007</v>
      </c>
      <c r="R286" s="99" t="e">
        <f t="shared" ca="1" si="219"/>
        <v>#N/A</v>
      </c>
      <c r="S286" s="161" t="e">
        <f t="shared" ca="1" si="246"/>
        <v>#N/A</v>
      </c>
      <c r="T286" s="286" t="e">
        <f t="shared" ca="1" si="220"/>
        <v>#N/A</v>
      </c>
      <c r="U286" s="285">
        <f t="shared" si="221"/>
        <v>3.2681625192718124E-3</v>
      </c>
      <c r="V286" s="99">
        <f t="shared" si="243"/>
        <v>3.2690000000000002E-3</v>
      </c>
      <c r="W286" s="99">
        <f t="shared" si="247"/>
        <v>0.991873</v>
      </c>
      <c r="X286" s="99" t="e">
        <f t="shared" ca="1" si="222"/>
        <v>#N/A</v>
      </c>
      <c r="Y286" s="161" t="e">
        <f t="shared" ca="1" si="257"/>
        <v>#N/A</v>
      </c>
      <c r="Z286" s="286" t="e">
        <f t="shared" ca="1" si="223"/>
        <v>#N/A</v>
      </c>
      <c r="AA286" s="285">
        <f t="shared" si="224"/>
        <v>2.6737639411438589E-2</v>
      </c>
      <c r="AB286" s="99">
        <f t="shared" si="225"/>
        <v>2.7102999999999999E-2</v>
      </c>
      <c r="AC286" s="99">
        <f t="shared" si="248"/>
        <v>0.73171400000000009</v>
      </c>
      <c r="AD286" s="99" t="e">
        <f t="shared" ca="1" si="226"/>
        <v>#N/A</v>
      </c>
      <c r="AE286" s="161" t="e">
        <f t="shared" ca="1" si="249"/>
        <v>#N/A</v>
      </c>
      <c r="AF286" s="286" t="e">
        <f t="shared" ca="1" si="227"/>
        <v>#N/A</v>
      </c>
      <c r="AG286" s="285">
        <f t="shared" si="228"/>
        <v>2.5476295759392843E-2</v>
      </c>
      <c r="AH286" s="99">
        <f t="shared" si="229"/>
        <v>2.5519E-2</v>
      </c>
      <c r="AI286" s="99">
        <f t="shared" si="250"/>
        <v>0.83006199999999986</v>
      </c>
      <c r="AJ286" s="99" t="e">
        <f t="shared" ca="1" si="230"/>
        <v>#N/A</v>
      </c>
      <c r="AK286" s="161" t="e">
        <f t="shared" ca="1" si="251"/>
        <v>#N/A</v>
      </c>
      <c r="AL286" s="286" t="e">
        <f t="shared" ca="1" si="231"/>
        <v>#N/A</v>
      </c>
      <c r="AM286" s="285">
        <f t="shared" si="232"/>
        <v>2.8948744919962199E-2</v>
      </c>
      <c r="AN286" s="99">
        <f t="shared" si="233"/>
        <v>2.8993000000000001E-2</v>
      </c>
      <c r="AO286" s="99">
        <f t="shared" si="252"/>
        <v>0.80774800000000002</v>
      </c>
      <c r="AP286" s="99" t="e">
        <f t="shared" ca="1" si="234"/>
        <v>#N/A</v>
      </c>
      <c r="AQ286" s="161" t="e">
        <f t="shared" ca="1" si="253"/>
        <v>#N/A</v>
      </c>
      <c r="AR286" s="286" t="e">
        <f t="shared" ca="1" si="235"/>
        <v>#N/A</v>
      </c>
      <c r="AS286" s="285">
        <f t="shared" si="236"/>
        <v>1.8069542475471094E-2</v>
      </c>
      <c r="AT286" s="99">
        <f t="shared" si="237"/>
        <v>1.8079000000000001E-2</v>
      </c>
      <c r="AU286" s="99">
        <f t="shared" si="254"/>
        <v>0.90250000000000008</v>
      </c>
      <c r="AV286" s="99" t="e">
        <f t="shared" ca="1" si="238"/>
        <v>#N/A</v>
      </c>
      <c r="AW286" s="161" t="e">
        <f t="shared" ca="1" si="255"/>
        <v>#N/A</v>
      </c>
      <c r="AX286" s="286" t="e">
        <f t="shared" ca="1" si="239"/>
        <v>#N/A</v>
      </c>
    </row>
    <row r="287" spans="2:86" x14ac:dyDescent="0.25">
      <c r="B287" s="104">
        <f t="shared" si="244"/>
        <v>16</v>
      </c>
      <c r="C287" s="94">
        <v>17</v>
      </c>
      <c r="D287" s="94">
        <f t="shared" si="210"/>
        <v>1.2529308999672398E-2</v>
      </c>
      <c r="E287" s="94">
        <f t="shared" si="211"/>
        <v>1.2533000000000001E-2</v>
      </c>
      <c r="F287" s="94">
        <f t="shared" si="240"/>
        <v>0.93991600000000008</v>
      </c>
      <c r="G287" s="94" t="e">
        <f t="shared" ca="1" si="212"/>
        <v>#N/A</v>
      </c>
      <c r="H287" s="94" t="e">
        <f t="shared" ca="1" si="213"/>
        <v>#N/A</v>
      </c>
      <c r="I287" s="161" t="e">
        <f t="shared" ca="1" si="258"/>
        <v>#N/A</v>
      </c>
      <c r="J287" s="156" t="e">
        <f t="shared" ca="1" si="256"/>
        <v>#N/A</v>
      </c>
      <c r="K287" s="160" t="e">
        <f t="shared" ca="1" si="241"/>
        <v>#N/A</v>
      </c>
      <c r="L287" s="101" t="e">
        <f t="shared" ca="1" si="215"/>
        <v>#N/A</v>
      </c>
      <c r="M287" s="101" t="e">
        <f t="shared" ca="1" si="216"/>
        <v>#N/A</v>
      </c>
      <c r="N287" s="101" t="e">
        <f t="shared" ca="1" si="242"/>
        <v>#N/A</v>
      </c>
      <c r="O287" s="285">
        <f t="shared" si="217"/>
        <v>1.2529308999672398E-2</v>
      </c>
      <c r="P287" s="99">
        <f t="shared" si="218"/>
        <v>1.2533000000000001E-2</v>
      </c>
      <c r="Q287" s="99">
        <f t="shared" si="245"/>
        <v>0.93991600000000008</v>
      </c>
      <c r="R287" s="99" t="e">
        <f t="shared" ca="1" si="219"/>
        <v>#N/A</v>
      </c>
      <c r="S287" s="161" t="e">
        <f t="shared" ca="1" si="246"/>
        <v>#N/A</v>
      </c>
      <c r="T287" s="286" t="e">
        <f t="shared" ca="1" si="220"/>
        <v>#N/A</v>
      </c>
      <c r="U287" s="285">
        <f t="shared" si="221"/>
        <v>2.2920192515082662E-3</v>
      </c>
      <c r="V287" s="99">
        <f t="shared" si="243"/>
        <v>2.2920000000000002E-3</v>
      </c>
      <c r="W287" s="99">
        <f t="shared" si="247"/>
        <v>0.99416499999999997</v>
      </c>
      <c r="X287" s="99" t="e">
        <f t="shared" ca="1" si="222"/>
        <v>#N/A</v>
      </c>
      <c r="Y287" s="161" t="e">
        <f t="shared" ca="1" si="257"/>
        <v>#N/A</v>
      </c>
      <c r="Z287" s="286" t="e">
        <f t="shared" ca="1" si="223"/>
        <v>#N/A</v>
      </c>
      <c r="AA287" s="285">
        <f t="shared" si="224"/>
        <v>2.4072666967061073E-2</v>
      </c>
      <c r="AB287" s="99">
        <f t="shared" si="225"/>
        <v>2.4400999999999999E-2</v>
      </c>
      <c r="AC287" s="99">
        <f t="shared" si="248"/>
        <v>0.75611500000000009</v>
      </c>
      <c r="AD287" s="99" t="e">
        <f t="shared" ca="1" si="226"/>
        <v>#N/A</v>
      </c>
      <c r="AE287" s="161" t="e">
        <f t="shared" ca="1" si="249"/>
        <v>#N/A</v>
      </c>
      <c r="AF287" s="286" t="e">
        <f t="shared" ca="1" si="227"/>
        <v>#N/A</v>
      </c>
      <c r="AG287" s="285">
        <f t="shared" si="228"/>
        <v>2.1954974984391699E-2</v>
      </c>
      <c r="AH287" s="99">
        <f t="shared" si="229"/>
        <v>2.1992000000000001E-2</v>
      </c>
      <c r="AI287" s="99">
        <f t="shared" si="250"/>
        <v>0.85205399999999987</v>
      </c>
      <c r="AJ287" s="99" t="e">
        <f t="shared" ca="1" si="230"/>
        <v>#N/A</v>
      </c>
      <c r="AK287" s="161" t="e">
        <f t="shared" ca="1" si="251"/>
        <v>#N/A</v>
      </c>
      <c r="AL287" s="286" t="e">
        <f t="shared" ca="1" si="231"/>
        <v>#N/A</v>
      </c>
      <c r="AM287" s="285">
        <f t="shared" si="232"/>
        <v>2.5032076412924664E-2</v>
      </c>
      <c r="AN287" s="99">
        <f t="shared" si="233"/>
        <v>2.5069999999999999E-2</v>
      </c>
      <c r="AO287" s="99">
        <f t="shared" si="252"/>
        <v>0.83281800000000006</v>
      </c>
      <c r="AP287" s="99" t="e">
        <f t="shared" ca="1" si="234"/>
        <v>#N/A</v>
      </c>
      <c r="AQ287" s="161" t="e">
        <f t="shared" ca="1" si="253"/>
        <v>#N/A</v>
      </c>
      <c r="AR287" s="286" t="e">
        <f t="shared" ca="1" si="235"/>
        <v>#N/A</v>
      </c>
      <c r="AS287" s="285">
        <f t="shared" si="236"/>
        <v>1.5035579709971506E-2</v>
      </c>
      <c r="AT287" s="99">
        <f t="shared" si="237"/>
        <v>1.5043000000000001E-2</v>
      </c>
      <c r="AU287" s="99">
        <f t="shared" si="254"/>
        <v>0.91754300000000011</v>
      </c>
      <c r="AV287" s="99" t="e">
        <f t="shared" ca="1" si="238"/>
        <v>#N/A</v>
      </c>
      <c r="AW287" s="161" t="e">
        <f t="shared" ca="1" si="255"/>
        <v>#N/A</v>
      </c>
      <c r="AX287" s="286" t="e">
        <f t="shared" ca="1" si="239"/>
        <v>#N/A</v>
      </c>
      <c r="BG287" s="102"/>
      <c r="BH287" s="102"/>
      <c r="BI287" s="102"/>
      <c r="BJ287" s="102"/>
      <c r="BK287" s="102"/>
      <c r="BL287" s="102"/>
    </row>
    <row r="288" spans="2:86" x14ac:dyDescent="0.25">
      <c r="B288" s="104">
        <f t="shared" si="244"/>
        <v>17</v>
      </c>
      <c r="C288" s="94">
        <v>18</v>
      </c>
      <c r="D288" s="94">
        <f t="shared" si="210"/>
        <v>1.0218234825301323E-2</v>
      </c>
      <c r="E288" s="94">
        <f t="shared" si="211"/>
        <v>1.0220999999999999E-2</v>
      </c>
      <c r="F288" s="94">
        <f t="shared" si="240"/>
        <v>0.95013700000000012</v>
      </c>
      <c r="G288" s="94" t="e">
        <f t="shared" ca="1" si="212"/>
        <v>#N/A</v>
      </c>
      <c r="H288" s="94" t="e">
        <f t="shared" ca="1" si="213"/>
        <v>#N/A</v>
      </c>
      <c r="I288" s="161" t="e">
        <f t="shared" ca="1" si="258"/>
        <v>#N/A</v>
      </c>
      <c r="J288" s="156" t="e">
        <f t="shared" ca="1" si="256"/>
        <v>#N/A</v>
      </c>
      <c r="K288" s="160" t="e">
        <f t="shared" ca="1" si="241"/>
        <v>#N/A</v>
      </c>
      <c r="L288" s="101" t="e">
        <f t="shared" ca="1" si="215"/>
        <v>#N/A</v>
      </c>
      <c r="M288" s="101" t="e">
        <f t="shared" ca="1" si="216"/>
        <v>#N/A</v>
      </c>
      <c r="N288" s="101" t="e">
        <f t="shared" ca="1" si="242"/>
        <v>#N/A</v>
      </c>
      <c r="O288" s="285">
        <f t="shared" si="217"/>
        <v>1.0218234825301323E-2</v>
      </c>
      <c r="P288" s="99">
        <f t="shared" si="218"/>
        <v>1.0220999999999999E-2</v>
      </c>
      <c r="Q288" s="99">
        <f t="shared" si="245"/>
        <v>0.95013700000000012</v>
      </c>
      <c r="R288" s="99" t="e">
        <f t="shared" ca="1" si="219"/>
        <v>#N/A</v>
      </c>
      <c r="S288" s="161" t="e">
        <f t="shared" ca="1" si="246"/>
        <v>#N/A</v>
      </c>
      <c r="T288" s="286" t="e">
        <f t="shared" ca="1" si="220"/>
        <v>#N/A</v>
      </c>
      <c r="U288" s="285">
        <f t="shared" si="221"/>
        <v>1.6179647058275235E-3</v>
      </c>
      <c r="V288" s="99">
        <f t="shared" si="243"/>
        <v>1.6180000000000001E-3</v>
      </c>
      <c r="W288" s="99">
        <f t="shared" si="247"/>
        <v>0.99578299999999997</v>
      </c>
      <c r="X288" s="99" t="e">
        <f t="shared" ca="1" si="222"/>
        <v>#N/A</v>
      </c>
      <c r="Y288" s="161" t="e">
        <f t="shared" ca="1" si="257"/>
        <v>#N/A</v>
      </c>
      <c r="Z288" s="286" t="e">
        <f t="shared" ca="1" si="223"/>
        <v>#N/A</v>
      </c>
      <c r="AA288" s="285">
        <f t="shared" si="224"/>
        <v>2.1690004149638488E-2</v>
      </c>
      <c r="AB288" s="99">
        <f t="shared" si="225"/>
        <v>2.1985999999999999E-2</v>
      </c>
      <c r="AC288" s="99">
        <f t="shared" si="248"/>
        <v>0.77810100000000004</v>
      </c>
      <c r="AD288" s="99" t="e">
        <f t="shared" ca="1" si="226"/>
        <v>#N/A</v>
      </c>
      <c r="AE288" s="161" t="e">
        <f t="shared" ca="1" si="249"/>
        <v>#N/A</v>
      </c>
      <c r="AF288" s="286" t="e">
        <f t="shared" ca="1" si="227"/>
        <v>#N/A</v>
      </c>
      <c r="AG288" s="285">
        <f t="shared" si="228"/>
        <v>1.8931471938829943E-2</v>
      </c>
      <c r="AH288" s="99">
        <f t="shared" si="229"/>
        <v>1.8963000000000001E-2</v>
      </c>
      <c r="AI288" s="99">
        <f t="shared" si="250"/>
        <v>0.87101699999999982</v>
      </c>
      <c r="AJ288" s="99" t="e">
        <f t="shared" ca="1" si="230"/>
        <v>#N/A</v>
      </c>
      <c r="AK288" s="161" t="e">
        <f t="shared" ca="1" si="251"/>
        <v>#N/A</v>
      </c>
      <c r="AL288" s="286" t="e">
        <f t="shared" ca="1" si="231"/>
        <v>#N/A</v>
      </c>
      <c r="AM288" s="285">
        <f t="shared" si="232"/>
        <v>2.1634452432654508E-2</v>
      </c>
      <c r="AN288" s="99">
        <f t="shared" si="233"/>
        <v>2.1668E-2</v>
      </c>
      <c r="AO288" s="99">
        <f t="shared" si="252"/>
        <v>0.85448600000000008</v>
      </c>
      <c r="AP288" s="99" t="e">
        <f t="shared" ca="1" si="234"/>
        <v>#N/A</v>
      </c>
      <c r="AQ288" s="161" t="e">
        <f t="shared" ca="1" si="253"/>
        <v>#N/A</v>
      </c>
      <c r="AR288" s="286" t="e">
        <f t="shared" ca="1" si="235"/>
        <v>#N/A</v>
      </c>
      <c r="AS288" s="285">
        <f t="shared" si="236"/>
        <v>1.2538430474231067E-2</v>
      </c>
      <c r="AT288" s="99">
        <f t="shared" si="237"/>
        <v>1.2545000000000001E-2</v>
      </c>
      <c r="AU288" s="99">
        <f t="shared" si="254"/>
        <v>0.93008800000000014</v>
      </c>
      <c r="AV288" s="99" t="e">
        <f t="shared" ca="1" si="238"/>
        <v>#N/A</v>
      </c>
      <c r="AW288" s="161" t="e">
        <f t="shared" ca="1" si="255"/>
        <v>#N/A</v>
      </c>
      <c r="AX288" s="286" t="e">
        <f t="shared" ca="1" si="239"/>
        <v>#N/A</v>
      </c>
    </row>
    <row r="289" spans="2:50" x14ac:dyDescent="0.25">
      <c r="B289" s="104">
        <f t="shared" si="244"/>
        <v>18</v>
      </c>
      <c r="C289" s="94">
        <v>19</v>
      </c>
      <c r="D289" s="94">
        <f t="shared" si="210"/>
        <v>8.356758606440513E-3</v>
      </c>
      <c r="E289" s="94">
        <f t="shared" si="211"/>
        <v>8.3590000000000001E-3</v>
      </c>
      <c r="F289" s="94">
        <f t="shared" si="240"/>
        <v>0.95849600000000013</v>
      </c>
      <c r="G289" s="94" t="e">
        <f t="shared" ca="1" si="212"/>
        <v>#N/A</v>
      </c>
      <c r="H289" s="94" t="e">
        <f t="shared" ca="1" si="213"/>
        <v>#N/A</v>
      </c>
      <c r="I289" s="161" t="e">
        <f t="shared" ca="1" si="258"/>
        <v>#N/A</v>
      </c>
      <c r="J289" s="156" t="e">
        <f t="shared" ca="1" si="256"/>
        <v>#N/A</v>
      </c>
      <c r="K289" s="160" t="e">
        <f t="shared" ca="1" si="241"/>
        <v>#N/A</v>
      </c>
      <c r="L289" s="101" t="e">
        <f t="shared" ca="1" si="215"/>
        <v>#N/A</v>
      </c>
      <c r="M289" s="101" t="e">
        <f t="shared" ca="1" si="216"/>
        <v>#N/A</v>
      </c>
      <c r="N289" s="101" t="e">
        <f t="shared" ca="1" si="242"/>
        <v>#N/A</v>
      </c>
      <c r="O289" s="285">
        <f t="shared" si="217"/>
        <v>8.356758606440513E-3</v>
      </c>
      <c r="P289" s="99">
        <f t="shared" si="218"/>
        <v>8.3590000000000001E-3</v>
      </c>
      <c r="Q289" s="99">
        <f t="shared" si="245"/>
        <v>0.95849600000000013</v>
      </c>
      <c r="R289" s="99" t="e">
        <f t="shared" ca="1" si="219"/>
        <v>#N/A</v>
      </c>
      <c r="S289" s="161" t="e">
        <f t="shared" ca="1" si="246"/>
        <v>#N/A</v>
      </c>
      <c r="T289" s="286" t="e">
        <f t="shared" ca="1" si="220"/>
        <v>#N/A</v>
      </c>
      <c r="U289" s="285">
        <f t="shared" si="221"/>
        <v>1.1496444703985404E-3</v>
      </c>
      <c r="V289" s="99">
        <f t="shared" si="243"/>
        <v>1.15E-3</v>
      </c>
      <c r="W289" s="99">
        <f t="shared" si="247"/>
        <v>0.99693299999999996</v>
      </c>
      <c r="X289" s="99" t="e">
        <f t="shared" ca="1" si="222"/>
        <v>#N/A</v>
      </c>
      <c r="Y289" s="161" t="e">
        <f t="shared" ca="1" si="257"/>
        <v>#N/A</v>
      </c>
      <c r="Z289" s="286" t="e">
        <f t="shared" ca="1" si="223"/>
        <v>#N/A</v>
      </c>
      <c r="AA289" s="285">
        <f t="shared" si="224"/>
        <v>1.9561979702151549E-2</v>
      </c>
      <c r="AB289" s="99">
        <f t="shared" si="225"/>
        <v>1.9828999999999999E-2</v>
      </c>
      <c r="AC289" s="99">
        <f t="shared" si="248"/>
        <v>0.79793000000000003</v>
      </c>
      <c r="AD289" s="99" t="e">
        <f t="shared" ca="1" si="226"/>
        <v>#N/A</v>
      </c>
      <c r="AE289" s="161" t="e">
        <f t="shared" ca="1" si="249"/>
        <v>#N/A</v>
      </c>
      <c r="AF289" s="286" t="e">
        <f t="shared" ca="1" si="227"/>
        <v>#N/A</v>
      </c>
      <c r="AG289" s="285">
        <f t="shared" si="228"/>
        <v>1.6339697999901391E-2</v>
      </c>
      <c r="AH289" s="99">
        <f t="shared" si="229"/>
        <v>1.6367E-2</v>
      </c>
      <c r="AI289" s="99">
        <f t="shared" si="250"/>
        <v>0.88738399999999984</v>
      </c>
      <c r="AJ289" s="99" t="e">
        <f t="shared" ca="1" si="230"/>
        <v>#N/A</v>
      </c>
      <c r="AK289" s="161" t="e">
        <f t="shared" ca="1" si="251"/>
        <v>#N/A</v>
      </c>
      <c r="AL289" s="286" t="e">
        <f t="shared" ca="1" si="231"/>
        <v>#N/A</v>
      </c>
      <c r="AM289" s="285">
        <f t="shared" si="232"/>
        <v>1.8698290253455731E-2</v>
      </c>
      <c r="AN289" s="99">
        <f t="shared" si="233"/>
        <v>1.8727000000000001E-2</v>
      </c>
      <c r="AO289" s="99">
        <f t="shared" si="252"/>
        <v>0.87321300000000013</v>
      </c>
      <c r="AP289" s="99" t="e">
        <f t="shared" ca="1" si="234"/>
        <v>#N/A</v>
      </c>
      <c r="AQ289" s="161" t="e">
        <f t="shared" ca="1" si="253"/>
        <v>#N/A</v>
      </c>
      <c r="AR289" s="286" t="e">
        <f t="shared" ca="1" si="235"/>
        <v>#N/A</v>
      </c>
      <c r="AS289" s="285">
        <f t="shared" si="236"/>
        <v>1.0481021101225478E-2</v>
      </c>
      <c r="AT289" s="99">
        <f t="shared" si="237"/>
        <v>1.0486000000000001E-2</v>
      </c>
      <c r="AU289" s="99">
        <f t="shared" si="254"/>
        <v>0.94057400000000013</v>
      </c>
      <c r="AV289" s="99" t="e">
        <f t="shared" ca="1" si="238"/>
        <v>#N/A</v>
      </c>
      <c r="AW289" s="161" t="e">
        <f t="shared" ca="1" si="255"/>
        <v>#N/A</v>
      </c>
      <c r="AX289" s="286" t="e">
        <f t="shared" ca="1" si="239"/>
        <v>#N/A</v>
      </c>
    </row>
    <row r="290" spans="2:50" x14ac:dyDescent="0.25">
      <c r="B290" s="104">
        <f t="shared" si="244"/>
        <v>19</v>
      </c>
      <c r="C290" s="94">
        <v>20</v>
      </c>
      <c r="D290" s="94">
        <f t="shared" si="210"/>
        <v>6.8543665729997308E-3</v>
      </c>
      <c r="E290" s="94">
        <f t="shared" si="211"/>
        <v>6.8560000000000001E-3</v>
      </c>
      <c r="F290" s="94">
        <f t="shared" si="240"/>
        <v>0.9653520000000001</v>
      </c>
      <c r="G290" s="94" t="e">
        <f t="shared" ca="1" si="212"/>
        <v>#N/A</v>
      </c>
      <c r="H290" s="94" t="e">
        <f t="shared" ca="1" si="213"/>
        <v>#N/A</v>
      </c>
      <c r="I290" s="161" t="e">
        <f t="shared" ca="1" si="258"/>
        <v>#N/A</v>
      </c>
      <c r="J290" s="156" t="e">
        <f t="shared" ca="1" si="256"/>
        <v>#N/A</v>
      </c>
      <c r="K290" s="160" t="e">
        <f t="shared" ca="1" si="241"/>
        <v>#N/A</v>
      </c>
      <c r="L290" s="101" t="e">
        <f t="shared" ca="1" si="215"/>
        <v>#N/A</v>
      </c>
      <c r="M290" s="101" t="e">
        <f t="shared" ca="1" si="216"/>
        <v>#N/A</v>
      </c>
      <c r="N290" s="101" t="e">
        <f t="shared" ca="1" si="242"/>
        <v>#N/A</v>
      </c>
      <c r="O290" s="285">
        <f t="shared" si="217"/>
        <v>6.8543665729997308E-3</v>
      </c>
      <c r="P290" s="99">
        <f t="shared" si="218"/>
        <v>6.8560000000000001E-3</v>
      </c>
      <c r="Q290" s="99">
        <f t="shared" si="245"/>
        <v>0.9653520000000001</v>
      </c>
      <c r="R290" s="99" t="e">
        <f t="shared" ca="1" si="219"/>
        <v>#N/A</v>
      </c>
      <c r="S290" s="161" t="e">
        <f t="shared" ca="1" si="246"/>
        <v>#N/A</v>
      </c>
      <c r="T290" s="286" t="e">
        <f t="shared" ca="1" si="220"/>
        <v>#N/A</v>
      </c>
      <c r="U290" s="285">
        <f t="shared" si="221"/>
        <v>8.2219860192950039E-4</v>
      </c>
      <c r="V290" s="99">
        <f t="shared" si="243"/>
        <v>8.2200000000000003E-4</v>
      </c>
      <c r="W290" s="99">
        <f t="shared" si="247"/>
        <v>0.99775499999999995</v>
      </c>
      <c r="X290" s="99" t="e">
        <f t="shared" ca="1" si="222"/>
        <v>#N/A</v>
      </c>
      <c r="Y290" s="161" t="e">
        <f t="shared" ca="1" si="257"/>
        <v>#N/A</v>
      </c>
      <c r="Z290" s="286" t="e">
        <f t="shared" ca="1" si="223"/>
        <v>#N/A</v>
      </c>
      <c r="AA290" s="285">
        <f t="shared" si="224"/>
        <v>1.7662100537966793E-2</v>
      </c>
      <c r="AB290" s="99">
        <f t="shared" si="225"/>
        <v>1.7902999999999999E-2</v>
      </c>
      <c r="AC290" s="99">
        <f t="shared" si="248"/>
        <v>0.81583300000000003</v>
      </c>
      <c r="AD290" s="99" t="e">
        <f t="shared" ca="1" si="226"/>
        <v>#N/A</v>
      </c>
      <c r="AE290" s="161" t="e">
        <f t="shared" ca="1" si="249"/>
        <v>#N/A</v>
      </c>
      <c r="AF290" s="286" t="e">
        <f t="shared" ca="1" si="227"/>
        <v>#N/A</v>
      </c>
      <c r="AG290" s="285">
        <f t="shared" si="228"/>
        <v>1.4119638430663094E-2</v>
      </c>
      <c r="AH290" s="99">
        <f t="shared" si="229"/>
        <v>1.4142999999999999E-2</v>
      </c>
      <c r="AI290" s="99">
        <f t="shared" si="250"/>
        <v>0.90152699999999986</v>
      </c>
      <c r="AJ290" s="99" t="e">
        <f t="shared" ca="1" si="230"/>
        <v>#N/A</v>
      </c>
      <c r="AK290" s="161" t="e">
        <f t="shared" ca="1" si="251"/>
        <v>#N/A</v>
      </c>
      <c r="AL290" s="286" t="e">
        <f t="shared" ca="1" si="231"/>
        <v>#N/A</v>
      </c>
      <c r="AM290" s="285">
        <f t="shared" si="232"/>
        <v>1.6167210423018878E-2</v>
      </c>
      <c r="AN290" s="99">
        <f t="shared" si="233"/>
        <v>1.6192000000000002E-2</v>
      </c>
      <c r="AO290" s="99">
        <f t="shared" si="252"/>
        <v>0.88940500000000011</v>
      </c>
      <c r="AP290" s="99" t="e">
        <f t="shared" ca="1" si="234"/>
        <v>#N/A</v>
      </c>
      <c r="AQ290" s="161" t="e">
        <f t="shared" ca="1" si="253"/>
        <v>#N/A</v>
      </c>
      <c r="AR290" s="286" t="e">
        <f t="shared" ca="1" si="235"/>
        <v>#N/A</v>
      </c>
      <c r="AS290" s="285">
        <f t="shared" si="236"/>
        <v>8.7832729655794757E-3</v>
      </c>
      <c r="AT290" s="99">
        <f t="shared" si="237"/>
        <v>8.7880000000000007E-3</v>
      </c>
      <c r="AU290" s="99">
        <f t="shared" si="254"/>
        <v>0.94936200000000015</v>
      </c>
      <c r="AV290" s="99" t="e">
        <f t="shared" ca="1" si="238"/>
        <v>#N/A</v>
      </c>
      <c r="AW290" s="161" t="e">
        <f t="shared" ca="1" si="255"/>
        <v>#N/A</v>
      </c>
      <c r="AX290" s="286" t="e">
        <f t="shared" ca="1" si="239"/>
        <v>#N/A</v>
      </c>
    </row>
    <row r="291" spans="2:50" x14ac:dyDescent="0.25">
      <c r="B291" s="104">
        <f t="shared" si="244"/>
        <v>20</v>
      </c>
      <c r="C291" s="94">
        <v>21</v>
      </c>
      <c r="D291" s="94">
        <f t="shared" si="210"/>
        <v>5.6388893773070287E-3</v>
      </c>
      <c r="E291" s="94">
        <f t="shared" si="211"/>
        <v>5.64E-3</v>
      </c>
      <c r="F291" s="94">
        <f t="shared" si="240"/>
        <v>0.97099200000000008</v>
      </c>
      <c r="G291" s="94" t="e">
        <f t="shared" ca="1" si="212"/>
        <v>#N/A</v>
      </c>
      <c r="H291" s="94" t="e">
        <f t="shared" ca="1" si="213"/>
        <v>#N/A</v>
      </c>
      <c r="I291" s="161" t="e">
        <f t="shared" ca="1" si="258"/>
        <v>#N/A</v>
      </c>
      <c r="J291" s="156" t="e">
        <f t="shared" ca="1" si="256"/>
        <v>#N/A</v>
      </c>
      <c r="K291" s="160" t="e">
        <f t="shared" ca="1" si="241"/>
        <v>#N/A</v>
      </c>
      <c r="L291" s="101" t="e">
        <f t="shared" ca="1" si="215"/>
        <v>#N/A</v>
      </c>
      <c r="M291" s="101" t="e">
        <f t="shared" ca="1" si="216"/>
        <v>#N/A</v>
      </c>
      <c r="N291" s="101" t="e">
        <f t="shared" ca="1" si="242"/>
        <v>#N/A</v>
      </c>
      <c r="O291" s="285">
        <f t="shared" si="217"/>
        <v>5.6388893773070287E-3</v>
      </c>
      <c r="P291" s="99">
        <f t="shared" si="218"/>
        <v>5.64E-3</v>
      </c>
      <c r="Q291" s="99">
        <f t="shared" si="245"/>
        <v>0.97099200000000008</v>
      </c>
      <c r="R291" s="99" t="e">
        <f t="shared" ca="1" si="219"/>
        <v>#N/A</v>
      </c>
      <c r="S291" s="161" t="e">
        <f t="shared" ca="1" si="246"/>
        <v>#N/A</v>
      </c>
      <c r="T291" s="286" t="e">
        <f t="shared" ca="1" si="220"/>
        <v>#N/A</v>
      </c>
      <c r="U291" s="285">
        <f t="shared" si="221"/>
        <v>5.9178202454418093E-4</v>
      </c>
      <c r="V291" s="99">
        <f t="shared" si="243"/>
        <v>5.9199999999999997E-4</v>
      </c>
      <c r="W291" s="99">
        <f t="shared" si="247"/>
        <v>0.99834699999999998</v>
      </c>
      <c r="X291" s="99" t="e">
        <f t="shared" ca="1" si="222"/>
        <v>#N/A</v>
      </c>
      <c r="Y291" s="161" t="e">
        <f t="shared" ca="1" si="257"/>
        <v>#N/A</v>
      </c>
      <c r="Z291" s="286" t="e">
        <f t="shared" ca="1" si="223"/>
        <v>#N/A</v>
      </c>
      <c r="AA291" s="285">
        <f t="shared" si="224"/>
        <v>1.5965725505398144E-2</v>
      </c>
      <c r="AB291" s="99">
        <f t="shared" si="225"/>
        <v>1.6184E-2</v>
      </c>
      <c r="AC291" s="99">
        <f t="shared" si="248"/>
        <v>0.83201700000000001</v>
      </c>
      <c r="AD291" s="99" t="e">
        <f t="shared" ca="1" si="226"/>
        <v>#N/A</v>
      </c>
      <c r="AE291" s="161" t="e">
        <f t="shared" ca="1" si="249"/>
        <v>#N/A</v>
      </c>
      <c r="AF291" s="286" t="e">
        <f t="shared" ca="1" si="227"/>
        <v>#N/A</v>
      </c>
      <c r="AG291" s="285">
        <f t="shared" si="228"/>
        <v>1.2218101723402076E-2</v>
      </c>
      <c r="AH291" s="99">
        <f t="shared" si="229"/>
        <v>1.2239E-2</v>
      </c>
      <c r="AI291" s="99">
        <f t="shared" si="250"/>
        <v>0.91376599999999986</v>
      </c>
      <c r="AJ291" s="99" t="e">
        <f t="shared" ca="1" si="230"/>
        <v>#N/A</v>
      </c>
      <c r="AK291" s="161" t="e">
        <f t="shared" ca="1" si="251"/>
        <v>#N/A</v>
      </c>
      <c r="AL291" s="286" t="e">
        <f t="shared" ca="1" si="231"/>
        <v>#N/A</v>
      </c>
      <c r="AM291" s="285">
        <f t="shared" si="232"/>
        <v>1.3988608342130065E-2</v>
      </c>
      <c r="AN291" s="99">
        <f t="shared" si="233"/>
        <v>1.401E-2</v>
      </c>
      <c r="AO291" s="99">
        <f t="shared" si="252"/>
        <v>0.90341500000000008</v>
      </c>
      <c r="AP291" s="99" t="e">
        <f t="shared" ca="1" si="234"/>
        <v>#N/A</v>
      </c>
      <c r="AQ291" s="161" t="e">
        <f t="shared" ca="1" si="253"/>
        <v>#N/A</v>
      </c>
      <c r="AR291" s="286" t="e">
        <f t="shared" ca="1" si="235"/>
        <v>#N/A</v>
      </c>
      <c r="AS291" s="285">
        <f t="shared" si="236"/>
        <v>7.3796038103261831E-3</v>
      </c>
      <c r="AT291" s="99">
        <f t="shared" si="237"/>
        <v>7.3829999999999998E-3</v>
      </c>
      <c r="AU291" s="99">
        <f t="shared" si="254"/>
        <v>0.95674500000000018</v>
      </c>
      <c r="AV291" s="99" t="e">
        <f t="shared" ca="1" si="238"/>
        <v>#N/A</v>
      </c>
      <c r="AW291" s="161" t="e">
        <f t="shared" ca="1" si="255"/>
        <v>#N/A</v>
      </c>
      <c r="AX291" s="286" t="e">
        <f t="shared" ca="1" si="239"/>
        <v>#N/A</v>
      </c>
    </row>
    <row r="292" spans="2:50" x14ac:dyDescent="0.25">
      <c r="B292" s="104">
        <f t="shared" si="244"/>
        <v>21</v>
      </c>
      <c r="C292" s="94">
        <v>22</v>
      </c>
      <c r="D292" s="94">
        <f t="shared" si="210"/>
        <v>4.652944595330194E-3</v>
      </c>
      <c r="E292" s="94">
        <f t="shared" si="211"/>
        <v>4.6540000000000002E-3</v>
      </c>
      <c r="F292" s="94">
        <f t="shared" si="240"/>
        <v>0.97564600000000012</v>
      </c>
      <c r="G292" s="94" t="e">
        <f t="shared" ca="1" si="212"/>
        <v>#N/A</v>
      </c>
      <c r="H292" s="94" t="e">
        <f t="shared" ca="1" si="213"/>
        <v>#N/A</v>
      </c>
      <c r="I292" s="161" t="e">
        <f t="shared" ca="1" si="258"/>
        <v>#N/A</v>
      </c>
      <c r="J292" s="156" t="e">
        <f t="shared" ca="1" si="256"/>
        <v>#N/A</v>
      </c>
      <c r="K292" s="160" t="e">
        <f t="shared" ca="1" si="241"/>
        <v>#N/A</v>
      </c>
      <c r="L292" s="101" t="e">
        <f t="shared" ca="1" si="215"/>
        <v>#N/A</v>
      </c>
      <c r="M292" s="101" t="e">
        <f t="shared" ca="1" si="216"/>
        <v>#N/A</v>
      </c>
      <c r="N292" s="101" t="e">
        <f t="shared" ca="1" si="242"/>
        <v>#N/A</v>
      </c>
      <c r="O292" s="285">
        <f t="shared" si="217"/>
        <v>4.652944595330194E-3</v>
      </c>
      <c r="P292" s="99">
        <f t="shared" si="218"/>
        <v>4.6540000000000002E-3</v>
      </c>
      <c r="Q292" s="99">
        <f t="shared" si="245"/>
        <v>0.97564600000000012</v>
      </c>
      <c r="R292" s="99" t="e">
        <f t="shared" ca="1" si="219"/>
        <v>#N/A</v>
      </c>
      <c r="S292" s="161" t="e">
        <f t="shared" ca="1" si="246"/>
        <v>#N/A</v>
      </c>
      <c r="T292" s="286" t="e">
        <f t="shared" ca="1" si="220"/>
        <v>#N/A</v>
      </c>
      <c r="U292" s="285">
        <f t="shared" si="221"/>
        <v>4.2860537935187043E-4</v>
      </c>
      <c r="V292" s="99">
        <f t="shared" si="243"/>
        <v>4.2900000000000002E-4</v>
      </c>
      <c r="W292" s="99">
        <f t="shared" si="247"/>
        <v>0.998776</v>
      </c>
      <c r="X292" s="99" t="e">
        <f t="shared" ca="1" si="222"/>
        <v>#N/A</v>
      </c>
      <c r="Y292" s="161" t="e">
        <f t="shared" ca="1" si="257"/>
        <v>#N/A</v>
      </c>
      <c r="Z292" s="286" t="e">
        <f t="shared" ca="1" si="223"/>
        <v>#N/A</v>
      </c>
      <c r="AA292" s="285">
        <f t="shared" si="224"/>
        <v>1.445035638711074E-2</v>
      </c>
      <c r="AB292" s="99">
        <f t="shared" si="225"/>
        <v>1.4648E-2</v>
      </c>
      <c r="AC292" s="99">
        <f t="shared" si="248"/>
        <v>0.846665</v>
      </c>
      <c r="AD292" s="99" t="e">
        <f t="shared" ca="1" si="226"/>
        <v>#N/A</v>
      </c>
      <c r="AE292" s="161" t="e">
        <f t="shared" ca="1" si="249"/>
        <v>#N/A</v>
      </c>
      <c r="AF292" s="286" t="e">
        <f t="shared" ca="1" si="227"/>
        <v>#N/A</v>
      </c>
      <c r="AG292" s="285">
        <f t="shared" si="228"/>
        <v>1.0588683965779205E-2</v>
      </c>
      <c r="AH292" s="99">
        <f t="shared" si="229"/>
        <v>1.0606000000000001E-2</v>
      </c>
      <c r="AI292" s="99">
        <f t="shared" si="250"/>
        <v>0.92437199999999986</v>
      </c>
      <c r="AJ292" s="99" t="e">
        <f t="shared" ca="1" si="230"/>
        <v>#N/A</v>
      </c>
      <c r="AK292" s="161" t="e">
        <f t="shared" ca="1" si="251"/>
        <v>#N/A</v>
      </c>
      <c r="AL292" s="286" t="e">
        <f t="shared" ca="1" si="231"/>
        <v>#N/A</v>
      </c>
      <c r="AM292" s="285">
        <f t="shared" si="232"/>
        <v>1.2114844773218836E-2</v>
      </c>
      <c r="AN292" s="99">
        <f t="shared" si="233"/>
        <v>1.2133E-2</v>
      </c>
      <c r="AO292" s="99">
        <f t="shared" si="252"/>
        <v>0.91554800000000003</v>
      </c>
      <c r="AP292" s="99" t="e">
        <f t="shared" ca="1" si="234"/>
        <v>#N/A</v>
      </c>
      <c r="AQ292" s="161" t="e">
        <f t="shared" ca="1" si="253"/>
        <v>#N/A</v>
      </c>
      <c r="AR292" s="286" t="e">
        <f t="shared" ca="1" si="235"/>
        <v>#N/A</v>
      </c>
      <c r="AS292" s="285">
        <f t="shared" si="236"/>
        <v>6.2165315971413034E-3</v>
      </c>
      <c r="AT292" s="99">
        <f t="shared" si="237"/>
        <v>6.2199999999999998E-3</v>
      </c>
      <c r="AU292" s="99">
        <f t="shared" si="254"/>
        <v>0.96296500000000018</v>
      </c>
      <c r="AV292" s="99" t="e">
        <f t="shared" ca="1" si="238"/>
        <v>#N/A</v>
      </c>
      <c r="AW292" s="161" t="e">
        <f t="shared" ca="1" si="255"/>
        <v>#N/A</v>
      </c>
      <c r="AX292" s="286" t="e">
        <f t="shared" ca="1" si="239"/>
        <v>#N/A</v>
      </c>
    </row>
    <row r="293" spans="2:50" x14ac:dyDescent="0.25">
      <c r="B293" s="104">
        <f t="shared" si="244"/>
        <v>22</v>
      </c>
      <c r="C293" s="94">
        <v>23</v>
      </c>
      <c r="D293" s="94">
        <f t="shared" si="210"/>
        <v>3.8509558582453364E-3</v>
      </c>
      <c r="E293" s="94">
        <f t="shared" si="211"/>
        <v>3.852E-3</v>
      </c>
      <c r="F293" s="94">
        <f t="shared" si="240"/>
        <v>0.97949800000000009</v>
      </c>
      <c r="G293" s="94" t="e">
        <f t="shared" ca="1" si="212"/>
        <v>#N/A</v>
      </c>
      <c r="H293" s="94" t="e">
        <f t="shared" ca="1" si="213"/>
        <v>#N/A</v>
      </c>
      <c r="I293" s="161" t="e">
        <f t="shared" ca="1" si="258"/>
        <v>#N/A</v>
      </c>
      <c r="J293" s="156" t="e">
        <f t="shared" ca="1" si="256"/>
        <v>#N/A</v>
      </c>
      <c r="K293" s="160" t="e">
        <f t="shared" ca="1" si="241"/>
        <v>#N/A</v>
      </c>
      <c r="L293" s="101" t="e">
        <f t="shared" ca="1" si="215"/>
        <v>#N/A</v>
      </c>
      <c r="M293" s="101" t="e">
        <f t="shared" ca="1" si="216"/>
        <v>#N/A</v>
      </c>
      <c r="N293" s="101" t="e">
        <f t="shared" ca="1" si="242"/>
        <v>#N/A</v>
      </c>
      <c r="O293" s="285">
        <f t="shared" si="217"/>
        <v>3.8509558582453364E-3</v>
      </c>
      <c r="P293" s="99">
        <f t="shared" si="218"/>
        <v>3.852E-3</v>
      </c>
      <c r="Q293" s="99">
        <f t="shared" si="245"/>
        <v>0.97949800000000009</v>
      </c>
      <c r="R293" s="99" t="e">
        <f t="shared" ca="1" si="219"/>
        <v>#N/A</v>
      </c>
      <c r="S293" s="161" t="e">
        <f t="shared" ca="1" si="246"/>
        <v>#N/A</v>
      </c>
      <c r="T293" s="286" t="e">
        <f t="shared" ca="1" si="220"/>
        <v>#N/A</v>
      </c>
      <c r="U293" s="285">
        <f t="shared" si="221"/>
        <v>3.1231600989821748E-4</v>
      </c>
      <c r="V293" s="99">
        <f t="shared" si="243"/>
        <v>3.1199999999999999E-4</v>
      </c>
      <c r="W293" s="99">
        <f t="shared" si="247"/>
        <v>0.99908799999999998</v>
      </c>
      <c r="X293" s="99" t="e">
        <f t="shared" ca="1" si="222"/>
        <v>#N/A</v>
      </c>
      <c r="Y293" s="161" t="e">
        <f t="shared" ca="1" si="257"/>
        <v>#N/A</v>
      </c>
      <c r="Z293" s="286" t="e">
        <f t="shared" ca="1" si="223"/>
        <v>#N/A</v>
      </c>
      <c r="AA293" s="285">
        <f t="shared" si="224"/>
        <v>1.3095702180795832E-2</v>
      </c>
      <c r="AB293" s="99">
        <f t="shared" si="225"/>
        <v>1.3275E-2</v>
      </c>
      <c r="AC293" s="99">
        <f t="shared" si="248"/>
        <v>0.85994000000000004</v>
      </c>
      <c r="AD293" s="99" t="e">
        <f t="shared" ca="1" si="226"/>
        <v>#N/A</v>
      </c>
      <c r="AE293" s="161" t="e">
        <f t="shared" ca="1" si="249"/>
        <v>#N/A</v>
      </c>
      <c r="AF293" s="286" t="e">
        <f t="shared" ca="1" si="227"/>
        <v>#N/A</v>
      </c>
      <c r="AG293" s="285">
        <f t="shared" si="228"/>
        <v>9.1913281358812909E-3</v>
      </c>
      <c r="AH293" s="99">
        <f t="shared" si="229"/>
        <v>9.2069999999999999E-3</v>
      </c>
      <c r="AI293" s="99">
        <f t="shared" si="250"/>
        <v>0.93357899999999983</v>
      </c>
      <c r="AJ293" s="99" t="e">
        <f t="shared" ca="1" si="230"/>
        <v>#N/A</v>
      </c>
      <c r="AK293" s="161" t="e">
        <f t="shared" ca="1" si="251"/>
        <v>#N/A</v>
      </c>
      <c r="AL293" s="286" t="e">
        <f t="shared" ca="1" si="231"/>
        <v>#N/A</v>
      </c>
      <c r="AM293" s="285">
        <f t="shared" si="232"/>
        <v>1.0503615215545378E-2</v>
      </c>
      <c r="AN293" s="99">
        <f t="shared" si="233"/>
        <v>1.052E-2</v>
      </c>
      <c r="AO293" s="99">
        <f t="shared" si="252"/>
        <v>0.926068</v>
      </c>
      <c r="AP293" s="99" t="e">
        <f t="shared" ca="1" si="234"/>
        <v>#N/A</v>
      </c>
      <c r="AQ293" s="161" t="e">
        <f t="shared" ca="1" si="253"/>
        <v>#N/A</v>
      </c>
      <c r="AR293" s="286" t="e">
        <f t="shared" ca="1" si="235"/>
        <v>#N/A</v>
      </c>
      <c r="AS293" s="285">
        <f t="shared" si="236"/>
        <v>5.2505393839050027E-3</v>
      </c>
      <c r="AT293" s="99">
        <f t="shared" si="237"/>
        <v>5.2529999999999999E-3</v>
      </c>
      <c r="AU293" s="99">
        <f t="shared" si="254"/>
        <v>0.96821800000000013</v>
      </c>
      <c r="AV293" s="99" t="e">
        <f t="shared" ca="1" si="238"/>
        <v>#N/A</v>
      </c>
      <c r="AW293" s="161" t="e">
        <f t="shared" ca="1" si="255"/>
        <v>#N/A</v>
      </c>
      <c r="AX293" s="286" t="e">
        <f t="shared" ca="1" si="239"/>
        <v>#N/A</v>
      </c>
    </row>
    <row r="294" spans="2:50" x14ac:dyDescent="0.25">
      <c r="B294" s="104">
        <f t="shared" si="244"/>
        <v>23</v>
      </c>
      <c r="C294" s="94">
        <v>24</v>
      </c>
      <c r="D294" s="94">
        <f t="shared" si="210"/>
        <v>3.196719345571294E-3</v>
      </c>
      <c r="E294" s="94">
        <f t="shared" si="211"/>
        <v>3.1979999999999999E-3</v>
      </c>
      <c r="F294" s="94">
        <f t="shared" si="240"/>
        <v>0.98269600000000012</v>
      </c>
      <c r="G294" s="94" t="e">
        <f t="shared" ca="1" si="212"/>
        <v>#N/A</v>
      </c>
      <c r="H294" s="94" t="e">
        <f t="shared" ca="1" si="213"/>
        <v>#N/A</v>
      </c>
      <c r="I294" s="161" t="e">
        <f t="shared" ca="1" si="258"/>
        <v>#N/A</v>
      </c>
      <c r="J294" s="156" t="e">
        <f t="shared" ca="1" si="256"/>
        <v>#N/A</v>
      </c>
      <c r="K294" s="160" t="e">
        <f t="shared" ca="1" si="241"/>
        <v>#N/A</v>
      </c>
      <c r="L294" s="101" t="e">
        <f t="shared" ca="1" si="215"/>
        <v>#N/A</v>
      </c>
      <c r="M294" s="101" t="e">
        <f t="shared" ca="1" si="216"/>
        <v>#N/A</v>
      </c>
      <c r="N294" s="101" t="e">
        <f t="shared" ca="1" si="242"/>
        <v>#N/A</v>
      </c>
      <c r="O294" s="285">
        <f t="shared" si="217"/>
        <v>3.196719345571294E-3</v>
      </c>
      <c r="P294" s="99">
        <f t="shared" si="218"/>
        <v>3.1979999999999999E-3</v>
      </c>
      <c r="Q294" s="99">
        <f t="shared" si="245"/>
        <v>0.98269600000000012</v>
      </c>
      <c r="R294" s="99" t="e">
        <f t="shared" ca="1" si="219"/>
        <v>#N/A</v>
      </c>
      <c r="S294" s="161" t="e">
        <f t="shared" ca="1" si="246"/>
        <v>#N/A</v>
      </c>
      <c r="T294" s="286" t="e">
        <f t="shared" ca="1" si="220"/>
        <v>#N/A</v>
      </c>
      <c r="U294" s="285">
        <f t="shared" si="221"/>
        <v>2.2892662975346651E-4</v>
      </c>
      <c r="V294" s="99">
        <f t="shared" si="243"/>
        <v>2.2900000000000001E-4</v>
      </c>
      <c r="W294" s="99">
        <f t="shared" si="247"/>
        <v>0.99931700000000001</v>
      </c>
      <c r="X294" s="99" t="e">
        <f t="shared" ca="1" si="222"/>
        <v>#N/A</v>
      </c>
      <c r="Y294" s="161" t="e">
        <f t="shared" ca="1" si="257"/>
        <v>#N/A</v>
      </c>
      <c r="Z294" s="286" t="e">
        <f t="shared" ca="1" si="223"/>
        <v>#N/A</v>
      </c>
      <c r="AA294" s="285">
        <f t="shared" si="224"/>
        <v>1.1883613750734235E-2</v>
      </c>
      <c r="AB294" s="99">
        <f t="shared" si="225"/>
        <v>1.2045999999999999E-2</v>
      </c>
      <c r="AC294" s="99">
        <f t="shared" si="248"/>
        <v>0.87198600000000004</v>
      </c>
      <c r="AD294" s="99" t="e">
        <f t="shared" ca="1" si="226"/>
        <v>#N/A</v>
      </c>
      <c r="AE294" s="161" t="e">
        <f t="shared" ca="1" si="249"/>
        <v>#N/A</v>
      </c>
      <c r="AF294" s="286" t="e">
        <f t="shared" ca="1" si="227"/>
        <v>#N/A</v>
      </c>
      <c r="AG294" s="285">
        <f t="shared" si="228"/>
        <v>7.9917009566497273E-3</v>
      </c>
      <c r="AH294" s="99">
        <f t="shared" si="229"/>
        <v>8.005E-3</v>
      </c>
      <c r="AI294" s="99">
        <f t="shared" si="250"/>
        <v>0.94158399999999987</v>
      </c>
      <c r="AJ294" s="99" t="e">
        <f t="shared" ca="1" si="230"/>
        <v>#N/A</v>
      </c>
      <c r="AK294" s="161" t="e">
        <f t="shared" ca="1" si="251"/>
        <v>#N/A</v>
      </c>
      <c r="AL294" s="286" t="e">
        <f t="shared" ca="1" si="231"/>
        <v>#N/A</v>
      </c>
      <c r="AM294" s="285">
        <f t="shared" si="232"/>
        <v>9.117851062726676E-3</v>
      </c>
      <c r="AN294" s="99">
        <f t="shared" si="233"/>
        <v>9.1319999999999995E-3</v>
      </c>
      <c r="AO294" s="99">
        <f t="shared" si="252"/>
        <v>0.93520000000000003</v>
      </c>
      <c r="AP294" s="99" t="e">
        <f t="shared" ca="1" si="234"/>
        <v>#N/A</v>
      </c>
      <c r="AQ294" s="161" t="e">
        <f t="shared" ca="1" si="253"/>
        <v>#N/A</v>
      </c>
      <c r="AR294" s="286" t="e">
        <f t="shared" ca="1" si="235"/>
        <v>#N/A</v>
      </c>
      <c r="AS294" s="285">
        <f t="shared" si="236"/>
        <v>4.4462481891502726E-3</v>
      </c>
      <c r="AT294" s="99">
        <f t="shared" si="237"/>
        <v>4.4479999999999997E-3</v>
      </c>
      <c r="AU294" s="99">
        <f t="shared" si="254"/>
        <v>0.97266600000000014</v>
      </c>
      <c r="AV294" s="99" t="e">
        <f t="shared" ca="1" si="238"/>
        <v>#N/A</v>
      </c>
      <c r="AW294" s="161" t="e">
        <f t="shared" ca="1" si="255"/>
        <v>#N/A</v>
      </c>
      <c r="AX294" s="286" t="e">
        <f t="shared" ca="1" si="239"/>
        <v>#N/A</v>
      </c>
    </row>
    <row r="295" spans="2:50" x14ac:dyDescent="0.25">
      <c r="B295" s="104">
        <f t="shared" si="244"/>
        <v>24</v>
      </c>
      <c r="C295" s="94">
        <v>25</v>
      </c>
      <c r="D295" s="94">
        <f t="shared" si="210"/>
        <v>2.6614485774049874E-3</v>
      </c>
      <c r="E295" s="94">
        <f t="shared" si="211"/>
        <v>2.6619999999999999E-3</v>
      </c>
      <c r="F295" s="94">
        <f t="shared" si="240"/>
        <v>0.98535800000000018</v>
      </c>
      <c r="G295" s="94" t="e">
        <f t="shared" ca="1" si="212"/>
        <v>#N/A</v>
      </c>
      <c r="H295" s="94" t="e">
        <f t="shared" ca="1" si="213"/>
        <v>#N/A</v>
      </c>
      <c r="I295" s="161" t="e">
        <f t="shared" ca="1" si="258"/>
        <v>#N/A</v>
      </c>
      <c r="J295" s="156" t="e">
        <f t="shared" ca="1" si="256"/>
        <v>#N/A</v>
      </c>
      <c r="K295" s="160" t="e">
        <f t="shared" ca="1" si="241"/>
        <v>#N/A</v>
      </c>
      <c r="L295" s="101" t="e">
        <f t="shared" ca="1" si="215"/>
        <v>#N/A</v>
      </c>
      <c r="M295" s="101" t="e">
        <f t="shared" ca="1" si="216"/>
        <v>#N/A</v>
      </c>
      <c r="N295" s="101" t="e">
        <f t="shared" ca="1" si="242"/>
        <v>#N/A</v>
      </c>
      <c r="O295" s="285">
        <f t="shared" si="217"/>
        <v>2.6614485774049874E-3</v>
      </c>
      <c r="P295" s="99">
        <f t="shared" si="218"/>
        <v>2.6619999999999999E-3</v>
      </c>
      <c r="Q295" s="99">
        <f t="shared" si="245"/>
        <v>0.98535800000000018</v>
      </c>
      <c r="R295" s="99" t="e">
        <f t="shared" ca="1" si="219"/>
        <v>#N/A</v>
      </c>
      <c r="S295" s="161" t="e">
        <f t="shared" ca="1" si="246"/>
        <v>#N/A</v>
      </c>
      <c r="T295" s="286" t="e">
        <f t="shared" ca="1" si="220"/>
        <v>#N/A</v>
      </c>
      <c r="U295" s="285">
        <f t="shared" si="221"/>
        <v>1.6876630457394025E-4</v>
      </c>
      <c r="V295" s="99">
        <f t="shared" si="243"/>
        <v>1.6899999999999999E-4</v>
      </c>
      <c r="W295" s="99">
        <f t="shared" si="247"/>
        <v>0.99948599999999999</v>
      </c>
      <c r="X295" s="99" t="e">
        <f t="shared" ca="1" si="222"/>
        <v>#N/A</v>
      </c>
      <c r="Y295" s="161" t="e">
        <f t="shared" ca="1" si="257"/>
        <v>#N/A</v>
      </c>
      <c r="Z295" s="286" t="e">
        <f t="shared" ca="1" si="223"/>
        <v>#N/A</v>
      </c>
      <c r="AA295" s="285">
        <f t="shared" si="224"/>
        <v>1.0797948933567154E-2</v>
      </c>
      <c r="AB295" s="99">
        <f t="shared" si="225"/>
        <v>1.0945E-2</v>
      </c>
      <c r="AC295" s="99">
        <f t="shared" si="248"/>
        <v>0.88293100000000002</v>
      </c>
      <c r="AD295" s="99" t="e">
        <f t="shared" ca="1" si="226"/>
        <v>#N/A</v>
      </c>
      <c r="AE295" s="161" t="e">
        <f t="shared" ca="1" si="249"/>
        <v>#N/A</v>
      </c>
      <c r="AF295" s="286" t="e">
        <f t="shared" ca="1" si="227"/>
        <v>#N/A</v>
      </c>
      <c r="AG295" s="285">
        <f t="shared" si="228"/>
        <v>6.9605143047353924E-3</v>
      </c>
      <c r="AH295" s="99">
        <f t="shared" si="229"/>
        <v>6.9719999999999999E-3</v>
      </c>
      <c r="AI295" s="99">
        <f t="shared" si="250"/>
        <v>0.94855599999999984</v>
      </c>
      <c r="AJ295" s="99" t="e">
        <f t="shared" ca="1" si="230"/>
        <v>#N/A</v>
      </c>
      <c r="AK295" s="161" t="e">
        <f t="shared" ca="1" si="251"/>
        <v>#N/A</v>
      </c>
      <c r="AL295" s="286" t="e">
        <f t="shared" ca="1" si="231"/>
        <v>#N/A</v>
      </c>
      <c r="AM295" s="285">
        <f t="shared" si="232"/>
        <v>7.9253716470935511E-3</v>
      </c>
      <c r="AN295" s="99">
        <f t="shared" si="233"/>
        <v>7.9369999999999996E-3</v>
      </c>
      <c r="AO295" s="99">
        <f t="shared" si="252"/>
        <v>0.943137</v>
      </c>
      <c r="AP295" s="99" t="e">
        <f t="shared" ca="1" si="234"/>
        <v>#N/A</v>
      </c>
      <c r="AQ295" s="161" t="e">
        <f t="shared" ca="1" si="253"/>
        <v>#N/A</v>
      </c>
      <c r="AR295" s="286" t="e">
        <f t="shared" ca="1" si="235"/>
        <v>#N/A</v>
      </c>
      <c r="AS295" s="285">
        <f t="shared" si="236"/>
        <v>3.7748908303941219E-3</v>
      </c>
      <c r="AT295" s="99">
        <f t="shared" si="237"/>
        <v>3.777E-3</v>
      </c>
      <c r="AU295" s="99">
        <f t="shared" si="254"/>
        <v>0.97644300000000017</v>
      </c>
      <c r="AV295" s="99" t="e">
        <f t="shared" ca="1" si="238"/>
        <v>#N/A</v>
      </c>
      <c r="AW295" s="161" t="e">
        <f t="shared" ca="1" si="255"/>
        <v>#N/A</v>
      </c>
      <c r="AX295" s="286" t="e">
        <f t="shared" ca="1" si="239"/>
        <v>#N/A</v>
      </c>
    </row>
    <row r="296" spans="2:50" x14ac:dyDescent="0.25">
      <c r="B296" s="104">
        <f t="shared" si="244"/>
        <v>25</v>
      </c>
      <c r="C296" s="94">
        <v>26</v>
      </c>
      <c r="D296" s="94">
        <f t="shared" si="210"/>
        <v>2.2222189685945446E-3</v>
      </c>
      <c r="E296" s="94">
        <f t="shared" si="211"/>
        <v>2.2230000000000001E-3</v>
      </c>
      <c r="F296" s="94">
        <f t="shared" si="240"/>
        <v>0.98758100000000015</v>
      </c>
      <c r="G296" s="94" t="e">
        <f t="shared" ca="1" si="212"/>
        <v>#N/A</v>
      </c>
      <c r="H296" s="94" t="e">
        <f t="shared" ca="1" si="213"/>
        <v>#N/A</v>
      </c>
      <c r="I296" s="161" t="e">
        <f t="shared" ca="1" si="258"/>
        <v>#N/A</v>
      </c>
      <c r="J296" s="156" t="e">
        <f t="shared" ca="1" si="256"/>
        <v>#N/A</v>
      </c>
      <c r="K296" s="160" t="e">
        <f t="shared" ca="1" si="241"/>
        <v>#N/A</v>
      </c>
      <c r="L296" s="101" t="e">
        <f t="shared" ca="1" si="215"/>
        <v>#N/A</v>
      </c>
      <c r="M296" s="101" t="e">
        <f t="shared" ca="1" si="216"/>
        <v>#N/A</v>
      </c>
      <c r="N296" s="101" t="e">
        <f t="shared" ca="1" si="242"/>
        <v>#N/A</v>
      </c>
      <c r="O296" s="285">
        <f t="shared" si="217"/>
        <v>2.2222189685945446E-3</v>
      </c>
      <c r="P296" s="99">
        <f t="shared" si="218"/>
        <v>2.2230000000000001E-3</v>
      </c>
      <c r="Q296" s="99">
        <f t="shared" si="245"/>
        <v>0.98758100000000015</v>
      </c>
      <c r="R296" s="99" t="e">
        <f t="shared" ca="1" si="219"/>
        <v>#N/A</v>
      </c>
      <c r="S296" s="161" t="e">
        <f t="shared" ca="1" si="246"/>
        <v>#N/A</v>
      </c>
      <c r="T296" s="286" t="e">
        <f t="shared" ca="1" si="220"/>
        <v>#N/A</v>
      </c>
      <c r="U296" s="285">
        <f t="shared" si="221"/>
        <v>1.251075517505444E-4</v>
      </c>
      <c r="V296" s="99">
        <f t="shared" si="243"/>
        <v>1.25E-4</v>
      </c>
      <c r="W296" s="99">
        <f t="shared" si="247"/>
        <v>0.99961100000000003</v>
      </c>
      <c r="X296" s="99" t="e">
        <f t="shared" ca="1" si="222"/>
        <v>#N/A</v>
      </c>
      <c r="Y296" s="161" t="e">
        <f t="shared" ca="1" si="257"/>
        <v>#N/A</v>
      </c>
      <c r="Z296" s="286" t="e">
        <f t="shared" ca="1" si="223"/>
        <v>#N/A</v>
      </c>
      <c r="AA296" s="285">
        <f t="shared" si="224"/>
        <v>9.824404898080185E-3</v>
      </c>
      <c r="AB296" s="99">
        <f t="shared" si="225"/>
        <v>9.9590000000000008E-3</v>
      </c>
      <c r="AC296" s="99">
        <f t="shared" si="248"/>
        <v>0.89289000000000007</v>
      </c>
      <c r="AD296" s="99" t="e">
        <f t="shared" ca="1" si="226"/>
        <v>#N/A</v>
      </c>
      <c r="AE296" s="161" t="e">
        <f t="shared" ca="1" si="249"/>
        <v>#N/A</v>
      </c>
      <c r="AF296" s="286" t="e">
        <f t="shared" ca="1" si="227"/>
        <v>#N/A</v>
      </c>
      <c r="AG296" s="285">
        <f t="shared" si="228"/>
        <v>6.0728605563528763E-3</v>
      </c>
      <c r="AH296" s="99">
        <f t="shared" si="229"/>
        <v>6.0829999999999999E-3</v>
      </c>
      <c r="AI296" s="99">
        <f t="shared" si="250"/>
        <v>0.95463899999999979</v>
      </c>
      <c r="AJ296" s="99" t="e">
        <f t="shared" ca="1" si="230"/>
        <v>#N/A</v>
      </c>
      <c r="AK296" s="161" t="e">
        <f t="shared" ca="1" si="251"/>
        <v>#N/A</v>
      </c>
      <c r="AL296" s="286" t="e">
        <f t="shared" ca="1" si="231"/>
        <v>#N/A</v>
      </c>
      <c r="AM296" s="285">
        <f t="shared" si="232"/>
        <v>6.8984206370819858E-3</v>
      </c>
      <c r="AN296" s="99">
        <f t="shared" si="233"/>
        <v>6.9090000000000002E-3</v>
      </c>
      <c r="AO296" s="99">
        <f t="shared" si="252"/>
        <v>0.95004600000000006</v>
      </c>
      <c r="AP296" s="99" t="e">
        <f t="shared" ca="1" si="234"/>
        <v>#N/A</v>
      </c>
      <c r="AQ296" s="161" t="e">
        <f t="shared" ca="1" si="253"/>
        <v>#N/A</v>
      </c>
      <c r="AR296" s="286" t="e">
        <f t="shared" ca="1" si="235"/>
        <v>#N/A</v>
      </c>
      <c r="AS296" s="285">
        <f t="shared" si="236"/>
        <v>3.213056305861908E-3</v>
      </c>
      <c r="AT296" s="99">
        <f t="shared" si="237"/>
        <v>3.215E-3</v>
      </c>
      <c r="AU296" s="99">
        <f t="shared" si="254"/>
        <v>0.97965800000000014</v>
      </c>
      <c r="AV296" s="99" t="e">
        <f t="shared" ca="1" si="238"/>
        <v>#N/A</v>
      </c>
      <c r="AW296" s="161" t="e">
        <f t="shared" ca="1" si="255"/>
        <v>#N/A</v>
      </c>
      <c r="AX296" s="286" t="e">
        <f t="shared" ca="1" si="239"/>
        <v>#N/A</v>
      </c>
    </row>
    <row r="297" spans="2:50" x14ac:dyDescent="0.25">
      <c r="B297" s="104">
        <f t="shared" si="244"/>
        <v>26</v>
      </c>
      <c r="C297" s="94">
        <v>27</v>
      </c>
      <c r="D297" s="94">
        <f t="shared" si="210"/>
        <v>1.8607378448446874E-3</v>
      </c>
      <c r="E297" s="94">
        <f t="shared" si="211"/>
        <v>1.861E-3</v>
      </c>
      <c r="F297" s="94">
        <f t="shared" si="240"/>
        <v>0.98944200000000015</v>
      </c>
      <c r="G297" s="94" t="e">
        <f t="shared" ca="1" si="212"/>
        <v>#N/A</v>
      </c>
      <c r="H297" s="94" t="e">
        <f t="shared" ca="1" si="213"/>
        <v>#N/A</v>
      </c>
      <c r="I297" s="161" t="e">
        <f t="shared" ca="1" si="258"/>
        <v>#N/A</v>
      </c>
      <c r="J297" s="156" t="e">
        <f t="shared" ca="1" si="256"/>
        <v>#N/A</v>
      </c>
      <c r="K297" s="160" t="e">
        <f t="shared" ca="1" si="241"/>
        <v>#N/A</v>
      </c>
      <c r="L297" s="101" t="e">
        <f t="shared" ca="1" si="215"/>
        <v>#N/A</v>
      </c>
      <c r="M297" s="101" t="e">
        <f t="shared" ca="1" si="216"/>
        <v>#N/A</v>
      </c>
      <c r="N297" s="101" t="e">
        <f t="shared" ca="1" si="242"/>
        <v>#N/A</v>
      </c>
      <c r="O297" s="285">
        <f t="shared" si="217"/>
        <v>1.8607378448446874E-3</v>
      </c>
      <c r="P297" s="99">
        <f t="shared" si="218"/>
        <v>1.861E-3</v>
      </c>
      <c r="Q297" s="99">
        <f t="shared" si="245"/>
        <v>0.98944200000000015</v>
      </c>
      <c r="R297" s="99" t="e">
        <f t="shared" ca="1" si="219"/>
        <v>#N/A</v>
      </c>
      <c r="S297" s="161" t="e">
        <f t="shared" ca="1" si="246"/>
        <v>#N/A</v>
      </c>
      <c r="T297" s="286" t="e">
        <f t="shared" ca="1" si="220"/>
        <v>#N/A</v>
      </c>
      <c r="U297" s="285">
        <f t="shared" si="221"/>
        <v>9.3241877179279419E-5</v>
      </c>
      <c r="V297" s="99">
        <f t="shared" si="243"/>
        <v>9.2999999999999997E-5</v>
      </c>
      <c r="W297" s="99">
        <f t="shared" si="247"/>
        <v>0.99970400000000004</v>
      </c>
      <c r="X297" s="99" t="e">
        <f t="shared" ca="1" si="222"/>
        <v>#N/A</v>
      </c>
      <c r="Y297" s="161" t="e">
        <f t="shared" ca="1" si="257"/>
        <v>#N/A</v>
      </c>
      <c r="Z297" s="286" t="e">
        <f t="shared" ca="1" si="223"/>
        <v>#N/A</v>
      </c>
      <c r="AA297" s="285">
        <f t="shared" si="224"/>
        <v>8.9503398998310654E-3</v>
      </c>
      <c r="AB297" s="99">
        <f t="shared" si="225"/>
        <v>9.0729999999999995E-3</v>
      </c>
      <c r="AC297" s="99">
        <f t="shared" si="248"/>
        <v>0.90196300000000007</v>
      </c>
      <c r="AD297" s="99" t="e">
        <f t="shared" ca="1" si="226"/>
        <v>#N/A</v>
      </c>
      <c r="AE297" s="161" t="e">
        <f t="shared" ca="1" si="249"/>
        <v>#N/A</v>
      </c>
      <c r="AF297" s="286" t="e">
        <f t="shared" ca="1" si="227"/>
        <v>#N/A</v>
      </c>
      <c r="AG297" s="285">
        <f t="shared" si="228"/>
        <v>5.3075969860392818E-3</v>
      </c>
      <c r="AH297" s="99">
        <f t="shared" si="229"/>
        <v>5.3169999999999997E-3</v>
      </c>
      <c r="AI297" s="99">
        <f t="shared" si="250"/>
        <v>0.95995599999999981</v>
      </c>
      <c r="AJ297" s="99" t="e">
        <f t="shared" ca="1" si="230"/>
        <v>#N/A</v>
      </c>
      <c r="AK297" s="161" t="e">
        <f t="shared" ca="1" si="251"/>
        <v>#N/A</v>
      </c>
      <c r="AL297" s="286" t="e">
        <f t="shared" ca="1" si="231"/>
        <v>#N/A</v>
      </c>
      <c r="AM297" s="285">
        <f t="shared" si="232"/>
        <v>6.013165957866635E-3</v>
      </c>
      <c r="AN297" s="99">
        <f t="shared" si="233"/>
        <v>6.0219999999999996E-3</v>
      </c>
      <c r="AO297" s="99">
        <f t="shared" si="252"/>
        <v>0.95606800000000003</v>
      </c>
      <c r="AP297" s="99" t="e">
        <f t="shared" ca="1" si="234"/>
        <v>#N/A</v>
      </c>
      <c r="AQ297" s="161" t="e">
        <f t="shared" ca="1" si="253"/>
        <v>#N/A</v>
      </c>
      <c r="AR297" s="286" t="e">
        <f t="shared" ca="1" si="235"/>
        <v>#N/A</v>
      </c>
      <c r="AS297" s="285">
        <f t="shared" si="236"/>
        <v>2.7416666256641891E-3</v>
      </c>
      <c r="AT297" s="99">
        <f t="shared" si="237"/>
        <v>2.7430000000000002E-3</v>
      </c>
      <c r="AU297" s="99">
        <f t="shared" si="254"/>
        <v>0.98240100000000019</v>
      </c>
      <c r="AV297" s="99" t="e">
        <f t="shared" ca="1" si="238"/>
        <v>#N/A</v>
      </c>
      <c r="AW297" s="161" t="e">
        <f t="shared" ca="1" si="255"/>
        <v>#N/A</v>
      </c>
      <c r="AX297" s="286" t="e">
        <f t="shared" ca="1" si="239"/>
        <v>#N/A</v>
      </c>
    </row>
    <row r="298" spans="2:50" x14ac:dyDescent="0.25">
      <c r="B298" s="104">
        <f t="shared" si="244"/>
        <v>27</v>
      </c>
      <c r="C298" s="94">
        <v>28</v>
      </c>
      <c r="D298" s="94">
        <f t="shared" si="210"/>
        <v>1.5623751653792107E-3</v>
      </c>
      <c r="E298" s="94">
        <f t="shared" si="211"/>
        <v>1.5629999999999999E-3</v>
      </c>
      <c r="F298" s="94">
        <f t="shared" si="240"/>
        <v>0.99100500000000014</v>
      </c>
      <c r="G298" s="94" t="e">
        <f t="shared" ca="1" si="212"/>
        <v>#N/A</v>
      </c>
      <c r="H298" s="94" t="e">
        <f t="shared" ca="1" si="213"/>
        <v>#N/A</v>
      </c>
      <c r="I298" s="161" t="e">
        <f t="shared" ca="1" si="258"/>
        <v>#N/A</v>
      </c>
      <c r="J298" s="156" t="e">
        <f t="shared" ca="1" si="256"/>
        <v>#N/A</v>
      </c>
      <c r="K298" s="160" t="e">
        <f t="shared" ca="1" si="241"/>
        <v>#N/A</v>
      </c>
      <c r="L298" s="101" t="e">
        <f t="shared" ca="1" si="215"/>
        <v>#N/A</v>
      </c>
      <c r="M298" s="101" t="e">
        <f t="shared" ca="1" si="216"/>
        <v>#N/A</v>
      </c>
      <c r="N298" s="101" t="e">
        <f t="shared" ca="1" si="242"/>
        <v>#N/A</v>
      </c>
      <c r="O298" s="285">
        <f t="shared" si="217"/>
        <v>1.5623751653792107E-3</v>
      </c>
      <c r="P298" s="99">
        <f t="shared" si="218"/>
        <v>1.5629999999999999E-3</v>
      </c>
      <c r="Q298" s="99">
        <f t="shared" si="245"/>
        <v>0.99100500000000014</v>
      </c>
      <c r="R298" s="99" t="e">
        <f t="shared" ca="1" si="219"/>
        <v>#N/A</v>
      </c>
      <c r="S298" s="161" t="e">
        <f t="shared" ca="1" si="246"/>
        <v>#N/A</v>
      </c>
      <c r="T298" s="286" t="e">
        <f t="shared" ca="1" si="220"/>
        <v>#N/A</v>
      </c>
      <c r="U298" s="285">
        <f t="shared" si="221"/>
        <v>6.9853913751640335E-5</v>
      </c>
      <c r="V298" s="99">
        <f t="shared" si="243"/>
        <v>6.9999999999999994E-5</v>
      </c>
      <c r="W298" s="99">
        <f t="shared" si="247"/>
        <v>0.99977400000000005</v>
      </c>
      <c r="X298" s="99" t="e">
        <f t="shared" ca="1" si="222"/>
        <v>#N/A</v>
      </c>
      <c r="Y298" s="161" t="e">
        <f t="shared" ca="1" si="257"/>
        <v>#N/A</v>
      </c>
      <c r="Z298" s="286" t="e">
        <f t="shared" ca="1" si="223"/>
        <v>#N/A</v>
      </c>
      <c r="AA298" s="285">
        <f t="shared" si="224"/>
        <v>8.1645973578734349E-3</v>
      </c>
      <c r="AB298" s="99">
        <f t="shared" si="225"/>
        <v>8.2760000000000004E-3</v>
      </c>
      <c r="AC298" s="99">
        <f t="shared" si="248"/>
        <v>0.91023900000000002</v>
      </c>
      <c r="AD298" s="99" t="e">
        <f t="shared" ca="1" si="226"/>
        <v>#N/A</v>
      </c>
      <c r="AE298" s="161" t="e">
        <f t="shared" ca="1" si="249"/>
        <v>#N/A</v>
      </c>
      <c r="AF298" s="286" t="e">
        <f t="shared" ca="1" si="227"/>
        <v>#N/A</v>
      </c>
      <c r="AG298" s="285">
        <f t="shared" si="228"/>
        <v>4.6467943321189384E-3</v>
      </c>
      <c r="AH298" s="99">
        <f t="shared" si="229"/>
        <v>4.6550000000000003E-3</v>
      </c>
      <c r="AI298" s="99">
        <f t="shared" si="250"/>
        <v>0.96461099999999977</v>
      </c>
      <c r="AJ298" s="99" t="e">
        <f t="shared" ca="1" si="230"/>
        <v>#N/A</v>
      </c>
      <c r="AK298" s="161" t="e">
        <f t="shared" ca="1" si="251"/>
        <v>#N/A</v>
      </c>
      <c r="AL298" s="286" t="e">
        <f t="shared" ca="1" si="231"/>
        <v>#N/A</v>
      </c>
      <c r="AM298" s="285">
        <f t="shared" si="232"/>
        <v>5.2492083369646862E-3</v>
      </c>
      <c r="AN298" s="99">
        <f t="shared" si="233"/>
        <v>5.2570000000000004E-3</v>
      </c>
      <c r="AO298" s="99">
        <f t="shared" si="252"/>
        <v>0.96132499999999999</v>
      </c>
      <c r="AP298" s="99" t="e">
        <f t="shared" ca="1" si="234"/>
        <v>#N/A</v>
      </c>
      <c r="AQ298" s="161" t="e">
        <f t="shared" ca="1" si="253"/>
        <v>#N/A</v>
      </c>
      <c r="AR298" s="286" t="e">
        <f t="shared" ca="1" si="235"/>
        <v>#N/A</v>
      </c>
      <c r="AS298" s="285">
        <f t="shared" si="236"/>
        <v>2.3451480614694346E-3</v>
      </c>
      <c r="AT298" s="99">
        <f t="shared" si="237"/>
        <v>2.346E-3</v>
      </c>
      <c r="AU298" s="99">
        <f t="shared" si="254"/>
        <v>0.98474700000000015</v>
      </c>
      <c r="AV298" s="99" t="e">
        <f t="shared" ca="1" si="238"/>
        <v>#N/A</v>
      </c>
      <c r="AW298" s="161" t="e">
        <f t="shared" ca="1" si="255"/>
        <v>#N/A</v>
      </c>
      <c r="AX298" s="286" t="e">
        <f t="shared" ca="1" si="239"/>
        <v>#N/A</v>
      </c>
    </row>
    <row r="299" spans="2:50" x14ac:dyDescent="0.25">
      <c r="B299" s="104">
        <f t="shared" si="244"/>
        <v>28</v>
      </c>
      <c r="C299" s="94">
        <v>29</v>
      </c>
      <c r="D299" s="94">
        <f t="shared" si="210"/>
        <v>1.3154009647814789E-3</v>
      </c>
      <c r="E299" s="94">
        <f t="shared" si="211"/>
        <v>1.3159999999999999E-3</v>
      </c>
      <c r="F299" s="94">
        <f t="shared" si="240"/>
        <v>0.99232100000000012</v>
      </c>
      <c r="G299" s="94" t="e">
        <f t="shared" ca="1" si="212"/>
        <v>#N/A</v>
      </c>
      <c r="H299" s="94" t="e">
        <f t="shared" ca="1" si="213"/>
        <v>#N/A</v>
      </c>
      <c r="I299" s="161" t="e">
        <f t="shared" ca="1" si="258"/>
        <v>#N/A</v>
      </c>
      <c r="J299" s="156" t="e">
        <f t="shared" ca="1" si="256"/>
        <v>#N/A</v>
      </c>
      <c r="K299" s="160" t="e">
        <f t="shared" ca="1" si="241"/>
        <v>#N/A</v>
      </c>
      <c r="L299" s="101" t="e">
        <f t="shared" ca="1" si="215"/>
        <v>#N/A</v>
      </c>
      <c r="M299" s="101" t="e">
        <f t="shared" ca="1" si="216"/>
        <v>#N/A</v>
      </c>
      <c r="N299" s="101" t="e">
        <f t="shared" ca="1" si="242"/>
        <v>#N/A</v>
      </c>
      <c r="O299" s="285">
        <f t="shared" si="217"/>
        <v>1.3154009647814789E-3</v>
      </c>
      <c r="P299" s="99">
        <f t="shared" si="218"/>
        <v>1.3159999999999999E-3</v>
      </c>
      <c r="Q299" s="99">
        <f t="shared" si="245"/>
        <v>0.99232100000000012</v>
      </c>
      <c r="R299" s="99" t="e">
        <f t="shared" ca="1" si="219"/>
        <v>#N/A</v>
      </c>
      <c r="S299" s="161" t="e">
        <f t="shared" ca="1" si="246"/>
        <v>#N/A</v>
      </c>
      <c r="T299" s="286" t="e">
        <f t="shared" ca="1" si="220"/>
        <v>#N/A</v>
      </c>
      <c r="U299" s="285">
        <f t="shared" si="221"/>
        <v>5.2595318784662845E-5</v>
      </c>
      <c r="V299" s="99">
        <f t="shared" si="243"/>
        <v>5.3000000000000001E-5</v>
      </c>
      <c r="W299" s="99">
        <f t="shared" si="247"/>
        <v>0.99982700000000002</v>
      </c>
      <c r="X299" s="99" t="e">
        <f t="shared" ca="1" si="222"/>
        <v>#N/A</v>
      </c>
      <c r="Y299" s="161" t="e">
        <f t="shared" ca="1" si="257"/>
        <v>#N/A</v>
      </c>
      <c r="Z299" s="286" t="e">
        <f t="shared" ca="1" si="223"/>
        <v>#N/A</v>
      </c>
      <c r="AA299" s="285">
        <f t="shared" si="224"/>
        <v>7.4573394177665283E-3</v>
      </c>
      <c r="AB299" s="99">
        <f t="shared" si="225"/>
        <v>7.5589999999999997E-3</v>
      </c>
      <c r="AC299" s="99">
        <f t="shared" si="248"/>
        <v>0.917798</v>
      </c>
      <c r="AD299" s="99" t="e">
        <f t="shared" ca="1" si="226"/>
        <v>#N/A</v>
      </c>
      <c r="AE299" s="161" t="e">
        <f t="shared" ca="1" si="249"/>
        <v>#N/A</v>
      </c>
      <c r="AF299" s="286" t="e">
        <f t="shared" ca="1" si="227"/>
        <v>#N/A</v>
      </c>
      <c r="AG299" s="285">
        <f t="shared" si="228"/>
        <v>4.0752533020004178E-3</v>
      </c>
      <c r="AH299" s="99">
        <f t="shared" si="229"/>
        <v>4.0819999999999997E-3</v>
      </c>
      <c r="AI299" s="99">
        <f t="shared" si="250"/>
        <v>0.9686929999999998</v>
      </c>
      <c r="AJ299" s="99" t="e">
        <f t="shared" ca="1" si="230"/>
        <v>#N/A</v>
      </c>
      <c r="AK299" s="161" t="e">
        <f t="shared" ca="1" si="251"/>
        <v>#N/A</v>
      </c>
      <c r="AL299" s="286" t="e">
        <f t="shared" ca="1" si="231"/>
        <v>#N/A</v>
      </c>
      <c r="AM299" s="285">
        <f t="shared" si="232"/>
        <v>4.5891224761996884E-3</v>
      </c>
      <c r="AN299" s="99">
        <f t="shared" si="233"/>
        <v>4.5960000000000003E-3</v>
      </c>
      <c r="AO299" s="99">
        <f t="shared" si="252"/>
        <v>0.96592100000000003</v>
      </c>
      <c r="AP299" s="99" t="e">
        <f t="shared" ca="1" si="234"/>
        <v>#N/A</v>
      </c>
      <c r="AQ299" s="161" t="e">
        <f t="shared" ca="1" si="253"/>
        <v>#N/A</v>
      </c>
      <c r="AR299" s="286" t="e">
        <f t="shared" ca="1" si="235"/>
        <v>#N/A</v>
      </c>
      <c r="AS299" s="285">
        <f t="shared" si="236"/>
        <v>2.01076228853803E-3</v>
      </c>
      <c r="AT299" s="99">
        <f t="shared" si="237"/>
        <v>2.0119999999999999E-3</v>
      </c>
      <c r="AU299" s="99">
        <f t="shared" si="254"/>
        <v>0.98675900000000016</v>
      </c>
      <c r="AV299" s="99" t="e">
        <f t="shared" ca="1" si="238"/>
        <v>#N/A</v>
      </c>
      <c r="AW299" s="161" t="e">
        <f t="shared" ca="1" si="255"/>
        <v>#N/A</v>
      </c>
      <c r="AX299" s="286" t="e">
        <f t="shared" ca="1" si="239"/>
        <v>#N/A</v>
      </c>
    </row>
    <row r="300" spans="2:50" x14ac:dyDescent="0.25">
      <c r="B300" s="104">
        <f t="shared" si="244"/>
        <v>29</v>
      </c>
      <c r="C300" s="94">
        <v>30</v>
      </c>
      <c r="D300" s="94">
        <f t="shared" si="210"/>
        <v>1.1103856750953145E-3</v>
      </c>
      <c r="E300" s="94">
        <f t="shared" si="211"/>
        <v>1.111E-3</v>
      </c>
      <c r="F300" s="94">
        <f t="shared" si="240"/>
        <v>0.99343200000000009</v>
      </c>
      <c r="G300" s="94" t="e">
        <f t="shared" ca="1" si="212"/>
        <v>#N/A</v>
      </c>
      <c r="H300" s="94" t="e">
        <f t="shared" ca="1" si="213"/>
        <v>#N/A</v>
      </c>
      <c r="I300" s="161" t="e">
        <f t="shared" ca="1" si="258"/>
        <v>#N/A</v>
      </c>
      <c r="J300" s="156" t="e">
        <f t="shared" ca="1" si="256"/>
        <v>#N/A</v>
      </c>
      <c r="K300" s="160" t="e">
        <f t="shared" ca="1" si="241"/>
        <v>#N/A</v>
      </c>
      <c r="L300" s="101" t="e">
        <f t="shared" ca="1" si="215"/>
        <v>#N/A</v>
      </c>
      <c r="M300" s="101" t="e">
        <f t="shared" ca="1" si="216"/>
        <v>#N/A</v>
      </c>
      <c r="N300" s="101" t="e">
        <f t="shared" ca="1" si="242"/>
        <v>#N/A</v>
      </c>
      <c r="O300" s="285">
        <f t="shared" si="217"/>
        <v>1.1103856750953145E-3</v>
      </c>
      <c r="P300" s="99">
        <f t="shared" si="218"/>
        <v>1.111E-3</v>
      </c>
      <c r="Q300" s="99">
        <f t="shared" si="245"/>
        <v>0.99343200000000009</v>
      </c>
      <c r="R300" s="99" t="e">
        <f t="shared" ca="1" si="219"/>
        <v>#N/A</v>
      </c>
      <c r="S300" s="161" t="e">
        <f t="shared" ca="1" si="246"/>
        <v>#N/A</v>
      </c>
      <c r="T300" s="286" t="e">
        <f t="shared" ca="1" si="220"/>
        <v>#N/A</v>
      </c>
      <c r="U300" s="285">
        <f t="shared" si="221"/>
        <v>3.979299336843938E-5</v>
      </c>
      <c r="V300" s="99">
        <f t="shared" si="243"/>
        <v>4.0000000000000003E-5</v>
      </c>
      <c r="W300" s="99">
        <f t="shared" si="247"/>
        <v>0.99986700000000006</v>
      </c>
      <c r="X300" s="99" t="e">
        <f t="shared" ca="1" si="222"/>
        <v>#N/A</v>
      </c>
      <c r="Y300" s="161" t="e">
        <f t="shared" ca="1" si="257"/>
        <v>#N/A</v>
      </c>
      <c r="Z300" s="286" t="e">
        <f t="shared" ca="1" si="223"/>
        <v>#N/A</v>
      </c>
      <c r="AA300" s="285">
        <f t="shared" si="224"/>
        <v>6.8198935934043435E-3</v>
      </c>
      <c r="AB300" s="99">
        <f t="shared" si="225"/>
        <v>6.9129999999999999E-3</v>
      </c>
      <c r="AC300" s="99">
        <f t="shared" si="248"/>
        <v>0.92471099999999995</v>
      </c>
      <c r="AD300" s="99" t="e">
        <f t="shared" ca="1" si="226"/>
        <v>#N/A</v>
      </c>
      <c r="AE300" s="161" t="e">
        <f t="shared" ca="1" si="249"/>
        <v>#N/A</v>
      </c>
      <c r="AF300" s="286" t="e">
        <f t="shared" ca="1" si="227"/>
        <v>#N/A</v>
      </c>
      <c r="AG300" s="285">
        <f t="shared" si="228"/>
        <v>3.5800866621878689E-3</v>
      </c>
      <c r="AH300" s="99">
        <f t="shared" si="229"/>
        <v>3.5860000000000002E-3</v>
      </c>
      <c r="AI300" s="99">
        <f t="shared" si="250"/>
        <v>0.97227899999999978</v>
      </c>
      <c r="AJ300" s="99" t="e">
        <f t="shared" ca="1" si="230"/>
        <v>#N/A</v>
      </c>
      <c r="AK300" s="161" t="e">
        <f t="shared" ca="1" si="251"/>
        <v>#N/A</v>
      </c>
      <c r="AL300" s="286" t="e">
        <f t="shared" ca="1" si="231"/>
        <v>#N/A</v>
      </c>
      <c r="AM300" s="285">
        <f t="shared" si="232"/>
        <v>4.0180420123171485E-3</v>
      </c>
      <c r="AN300" s="99">
        <f t="shared" si="233"/>
        <v>4.0239999999999998E-3</v>
      </c>
      <c r="AO300" s="99">
        <f t="shared" si="252"/>
        <v>0.96994500000000006</v>
      </c>
      <c r="AP300" s="99" t="e">
        <f t="shared" ca="1" si="234"/>
        <v>#N/A</v>
      </c>
      <c r="AQ300" s="161" t="e">
        <f t="shared" ca="1" si="253"/>
        <v>#N/A</v>
      </c>
      <c r="AR300" s="286" t="e">
        <f t="shared" ca="1" si="235"/>
        <v>#N/A</v>
      </c>
      <c r="AS300" s="285">
        <f t="shared" si="236"/>
        <v>1.7280676135097844E-3</v>
      </c>
      <c r="AT300" s="99">
        <f t="shared" si="237"/>
        <v>1.7290000000000001E-3</v>
      </c>
      <c r="AU300" s="99">
        <f t="shared" si="254"/>
        <v>0.98848800000000014</v>
      </c>
      <c r="AV300" s="99" t="e">
        <f t="shared" ca="1" si="238"/>
        <v>#N/A</v>
      </c>
      <c r="AW300" s="161" t="e">
        <f t="shared" ca="1" si="255"/>
        <v>#N/A</v>
      </c>
      <c r="AX300" s="286" t="e">
        <f t="shared" ca="1" si="239"/>
        <v>#N/A</v>
      </c>
    </row>
    <row r="301" spans="2:50" x14ac:dyDescent="0.25">
      <c r="B301" s="104">
        <f t="shared" si="244"/>
        <v>30</v>
      </c>
      <c r="C301" s="94">
        <v>31</v>
      </c>
      <c r="D301" s="94">
        <f t="shared" si="210"/>
        <v>9.3972830995026535E-4</v>
      </c>
      <c r="E301" s="94">
        <f t="shared" si="211"/>
        <v>9.3999999999999997E-4</v>
      </c>
      <c r="F301" s="94">
        <f t="shared" si="240"/>
        <v>0.99437200000000014</v>
      </c>
      <c r="G301" s="94" t="e">
        <f t="shared" ca="1" si="212"/>
        <v>#N/A</v>
      </c>
      <c r="H301" s="94" t="e">
        <f t="shared" ca="1" si="213"/>
        <v>#N/A</v>
      </c>
      <c r="I301" s="161" t="e">
        <f t="shared" ca="1" si="258"/>
        <v>#N/A</v>
      </c>
      <c r="J301" s="156" t="e">
        <f t="shared" ca="1" si="256"/>
        <v>#N/A</v>
      </c>
      <c r="K301" s="160" t="e">
        <f t="shared" ca="1" si="241"/>
        <v>#N/A</v>
      </c>
      <c r="L301" s="101" t="e">
        <f t="shared" ca="1" si="215"/>
        <v>#N/A</v>
      </c>
      <c r="M301" s="101" t="e">
        <f t="shared" ca="1" si="216"/>
        <v>#N/A</v>
      </c>
      <c r="N301" s="101" t="e">
        <f t="shared" ca="1" si="242"/>
        <v>#N/A</v>
      </c>
      <c r="O301" s="285">
        <f t="shared" si="217"/>
        <v>9.3972830995026535E-4</v>
      </c>
      <c r="P301" s="99">
        <f t="shared" si="218"/>
        <v>9.3999999999999997E-4</v>
      </c>
      <c r="Q301" s="99">
        <f t="shared" si="245"/>
        <v>0.99437200000000014</v>
      </c>
      <c r="R301" s="99" t="e">
        <f t="shared" ca="1" si="219"/>
        <v>#N/A</v>
      </c>
      <c r="S301" s="161" t="e">
        <f t="shared" ca="1" si="246"/>
        <v>#N/A</v>
      </c>
      <c r="T301" s="286" t="e">
        <f t="shared" ca="1" si="220"/>
        <v>#N/A</v>
      </c>
      <c r="U301" s="285">
        <f t="shared" si="221"/>
        <v>3.0248113538498467E-5</v>
      </c>
      <c r="V301" s="99">
        <f t="shared" si="243"/>
        <v>3.0000000000000001E-5</v>
      </c>
      <c r="W301" s="99">
        <f t="shared" si="247"/>
        <v>0.99989700000000004</v>
      </c>
      <c r="X301" s="99" t="e">
        <f t="shared" ca="1" si="222"/>
        <v>#N/A</v>
      </c>
      <c r="Y301" s="161" t="e">
        <f t="shared" ca="1" si="257"/>
        <v>#N/A</v>
      </c>
      <c r="Z301" s="286" t="e">
        <f t="shared" ca="1" si="223"/>
        <v>#N/A</v>
      </c>
      <c r="AA301" s="285">
        <f t="shared" si="224"/>
        <v>6.2446139010798032E-3</v>
      </c>
      <c r="AB301" s="99">
        <f t="shared" si="225"/>
        <v>6.3299999999999997E-3</v>
      </c>
      <c r="AC301" s="99">
        <f t="shared" si="248"/>
        <v>0.9310409999999999</v>
      </c>
      <c r="AD301" s="99" t="e">
        <f t="shared" ca="1" si="226"/>
        <v>#N/A</v>
      </c>
      <c r="AE301" s="161" t="e">
        <f t="shared" ca="1" si="249"/>
        <v>#N/A</v>
      </c>
      <c r="AF301" s="286" t="e">
        <f t="shared" ca="1" si="227"/>
        <v>#N/A</v>
      </c>
      <c r="AG301" s="285">
        <f t="shared" si="228"/>
        <v>3.1503615250078544E-3</v>
      </c>
      <c r="AH301" s="99">
        <f t="shared" si="229"/>
        <v>3.156E-3</v>
      </c>
      <c r="AI301" s="99">
        <f t="shared" si="250"/>
        <v>0.97543499999999983</v>
      </c>
      <c r="AJ301" s="99" t="e">
        <f t="shared" ca="1" si="230"/>
        <v>#N/A</v>
      </c>
      <c r="AK301" s="161" t="e">
        <f t="shared" ca="1" si="251"/>
        <v>#N/A</v>
      </c>
      <c r="AL301" s="286" t="e">
        <f t="shared" ca="1" si="231"/>
        <v>#N/A</v>
      </c>
      <c r="AM301" s="285">
        <f t="shared" si="232"/>
        <v>3.5232918146999911E-3</v>
      </c>
      <c r="AN301" s="99">
        <f t="shared" si="233"/>
        <v>3.529E-3</v>
      </c>
      <c r="AO301" s="99">
        <f t="shared" si="252"/>
        <v>0.97347400000000006</v>
      </c>
      <c r="AP301" s="99" t="e">
        <f t="shared" ca="1" si="234"/>
        <v>#N/A</v>
      </c>
      <c r="AQ301" s="161" t="e">
        <f t="shared" ca="1" si="253"/>
        <v>#N/A</v>
      </c>
      <c r="AR301" s="286" t="e">
        <f t="shared" ca="1" si="235"/>
        <v>#N/A</v>
      </c>
      <c r="AS301" s="285">
        <f t="shared" si="236"/>
        <v>1.4884853094401292E-3</v>
      </c>
      <c r="AT301" s="99">
        <f t="shared" si="237"/>
        <v>1.4890000000000001E-3</v>
      </c>
      <c r="AU301" s="99">
        <f t="shared" si="254"/>
        <v>0.98997700000000011</v>
      </c>
      <c r="AV301" s="99" t="e">
        <f t="shared" ca="1" si="238"/>
        <v>#N/A</v>
      </c>
      <c r="AW301" s="161" t="e">
        <f t="shared" ca="1" si="255"/>
        <v>#N/A</v>
      </c>
      <c r="AX301" s="286" t="e">
        <f t="shared" ca="1" si="239"/>
        <v>#N/A</v>
      </c>
    </row>
    <row r="302" spans="2:50" x14ac:dyDescent="0.25">
      <c r="B302" s="104">
        <f t="shared" si="244"/>
        <v>31</v>
      </c>
      <c r="C302" s="94">
        <v>32</v>
      </c>
      <c r="D302" s="94">
        <f t="shared" si="210"/>
        <v>7.9728482832450371E-4</v>
      </c>
      <c r="E302" s="94">
        <f t="shared" si="211"/>
        <v>7.9799999999999999E-4</v>
      </c>
      <c r="F302" s="94">
        <f t="shared" si="240"/>
        <v>0.99517000000000011</v>
      </c>
      <c r="G302" s="94" t="e">
        <f t="shared" ca="1" si="212"/>
        <v>#N/A</v>
      </c>
      <c r="H302" s="94" t="e">
        <f t="shared" ca="1" si="213"/>
        <v>#N/A</v>
      </c>
      <c r="I302" s="161" t="e">
        <f t="shared" ca="1" si="258"/>
        <v>#N/A</v>
      </c>
      <c r="J302" s="156" t="e">
        <f t="shared" ca="1" si="256"/>
        <v>#N/A</v>
      </c>
      <c r="K302" s="160" t="e">
        <f t="shared" ca="1" si="241"/>
        <v>#N/A</v>
      </c>
      <c r="L302" s="101" t="e">
        <f t="shared" ca="1" si="215"/>
        <v>#N/A</v>
      </c>
      <c r="M302" s="101" t="e">
        <f t="shared" ca="1" si="216"/>
        <v>#N/A</v>
      </c>
      <c r="N302" s="101" t="e">
        <f t="shared" ca="1" si="242"/>
        <v>#N/A</v>
      </c>
      <c r="O302" s="285">
        <f t="shared" si="217"/>
        <v>7.9728482832450371E-4</v>
      </c>
      <c r="P302" s="99">
        <f t="shared" si="218"/>
        <v>7.9799999999999999E-4</v>
      </c>
      <c r="Q302" s="99">
        <f t="shared" si="245"/>
        <v>0.99517000000000011</v>
      </c>
      <c r="R302" s="99" t="e">
        <f t="shared" ca="1" si="219"/>
        <v>#N/A</v>
      </c>
      <c r="S302" s="161" t="e">
        <f t="shared" ca="1" si="246"/>
        <v>#N/A</v>
      </c>
      <c r="T302" s="286" t="e">
        <f t="shared" ca="1" si="220"/>
        <v>#N/A</v>
      </c>
      <c r="U302" s="285">
        <f t="shared" si="221"/>
        <v>2.3096901577196631E-5</v>
      </c>
      <c r="V302" s="99">
        <f t="shared" si="243"/>
        <v>2.3E-5</v>
      </c>
      <c r="W302" s="99">
        <f t="shared" si="247"/>
        <v>0.99992000000000003</v>
      </c>
      <c r="X302" s="99" t="e">
        <f t="shared" ca="1" si="222"/>
        <v>#N/A</v>
      </c>
      <c r="Y302" s="161" t="e">
        <f t="shared" ca="1" si="257"/>
        <v>#N/A</v>
      </c>
      <c r="Z302" s="286" t="e">
        <f t="shared" ca="1" si="223"/>
        <v>#N/A</v>
      </c>
      <c r="AA302" s="285">
        <f t="shared" si="224"/>
        <v>5.7247566035583865E-3</v>
      </c>
      <c r="AB302" s="99">
        <f t="shared" si="225"/>
        <v>5.803E-3</v>
      </c>
      <c r="AC302" s="99">
        <f t="shared" si="248"/>
        <v>0.9368439999999999</v>
      </c>
      <c r="AD302" s="99" t="e">
        <f t="shared" ca="1" si="226"/>
        <v>#N/A</v>
      </c>
      <c r="AE302" s="161" t="e">
        <f t="shared" ca="1" si="249"/>
        <v>#N/A</v>
      </c>
      <c r="AF302" s="286" t="e">
        <f t="shared" ca="1" si="227"/>
        <v>#N/A</v>
      </c>
      <c r="AG302" s="285">
        <f t="shared" si="228"/>
        <v>2.7767952122955452E-3</v>
      </c>
      <c r="AH302" s="99">
        <f t="shared" si="229"/>
        <v>2.7810000000000001E-3</v>
      </c>
      <c r="AI302" s="99">
        <f t="shared" si="250"/>
        <v>0.97821599999999986</v>
      </c>
      <c r="AJ302" s="99" t="e">
        <f t="shared" ca="1" si="230"/>
        <v>#N/A</v>
      </c>
      <c r="AK302" s="161" t="e">
        <f t="shared" ca="1" si="251"/>
        <v>#N/A</v>
      </c>
      <c r="AL302" s="286" t="e">
        <f t="shared" ca="1" si="231"/>
        <v>#N/A</v>
      </c>
      <c r="AM302" s="285">
        <f t="shared" si="232"/>
        <v>3.0940668301999105E-3</v>
      </c>
      <c r="AN302" s="99">
        <f t="shared" si="233"/>
        <v>3.0990000000000002E-3</v>
      </c>
      <c r="AO302" s="99">
        <f t="shared" si="252"/>
        <v>0.97657300000000002</v>
      </c>
      <c r="AP302" s="99" t="e">
        <f t="shared" ca="1" si="234"/>
        <v>#N/A</v>
      </c>
      <c r="AQ302" s="161" t="e">
        <f t="shared" ca="1" si="253"/>
        <v>#N/A</v>
      </c>
      <c r="AR302" s="286" t="e">
        <f t="shared" ca="1" si="235"/>
        <v>#N/A</v>
      </c>
      <c r="AS302" s="285">
        <f t="shared" si="236"/>
        <v>1.2849505119892652E-3</v>
      </c>
      <c r="AT302" s="99">
        <f t="shared" si="237"/>
        <v>1.286E-3</v>
      </c>
      <c r="AU302" s="99">
        <f t="shared" si="254"/>
        <v>0.99126300000000012</v>
      </c>
      <c r="AV302" s="99" t="e">
        <f t="shared" ca="1" si="238"/>
        <v>#N/A</v>
      </c>
      <c r="AW302" s="161" t="e">
        <f t="shared" ca="1" si="255"/>
        <v>#N/A</v>
      </c>
      <c r="AX302" s="286" t="e">
        <f t="shared" ca="1" si="239"/>
        <v>#N/A</v>
      </c>
    </row>
    <row r="303" spans="2:50" x14ac:dyDescent="0.25">
      <c r="B303" s="104">
        <f t="shared" si="244"/>
        <v>32</v>
      </c>
      <c r="C303" s="94">
        <v>33</v>
      </c>
      <c r="D303" s="94">
        <f t="shared" ref="D303:D330" si="259">_xlfn.LOGNORM.DIST(C303, $E$45, $E$47, FALSE)</f>
        <v>6.7807493767746115E-4</v>
      </c>
      <c r="E303" s="94">
        <f t="shared" ref="E303:E330" si="260">ROUND(D303/$D$331,6)</f>
        <v>6.78E-4</v>
      </c>
      <c r="F303" s="94">
        <f t="shared" si="240"/>
        <v>0.99584800000000007</v>
      </c>
      <c r="G303" s="94" t="e">
        <f t="shared" ref="G303:G330" ca="1" si="261">IF(H303&gt;0,H303,(ROUND(E303*$E$264,0)))</f>
        <v>#N/A</v>
      </c>
      <c r="H303" s="94" t="e">
        <f t="shared" ref="H303:H330" ca="1" si="262">LOOKUP(B303,$C$405:$C$601,(OFFSET($C$405:$C$601,0,4)))</f>
        <v>#N/A</v>
      </c>
      <c r="I303" s="161" t="e">
        <f t="shared" ca="1" si="258"/>
        <v>#N/A</v>
      </c>
      <c r="J303" s="156" t="e">
        <f t="shared" ca="1" si="256"/>
        <v>#N/A</v>
      </c>
      <c r="K303" s="160" t="e">
        <f t="shared" ca="1" si="241"/>
        <v>#N/A</v>
      </c>
      <c r="L303" s="101" t="e">
        <f t="shared" ref="L303:L330" ca="1" si="263">IF($E$41=$F$41,AE303,IF($E$41=$G$41,AW303,"n/a"))</f>
        <v>#N/A</v>
      </c>
      <c r="M303" s="101" t="e">
        <f t="shared" ref="M303:M330" ca="1" si="264">IF($E$41=$F$41,Y303,IF($E$41=$G$41,AQ303,"n/a"))</f>
        <v>#N/A</v>
      </c>
      <c r="N303" s="101" t="e">
        <f t="shared" ca="1" si="242"/>
        <v>#N/A</v>
      </c>
      <c r="O303" s="285">
        <f t="shared" ref="O303:O330" si="265">_xlfn.LOGNORM.DIST($C303, O$52, O$53, FALSE)</f>
        <v>6.7807493767746115E-4</v>
      </c>
      <c r="P303" s="99">
        <f t="shared" ref="P303:P330" si="266">ROUND(O303/O$331,6)</f>
        <v>6.78E-4</v>
      </c>
      <c r="Q303" s="99">
        <f t="shared" si="245"/>
        <v>0.99584800000000007</v>
      </c>
      <c r="R303" s="99" t="e">
        <f t="shared" ref="R303:R330" ca="1" si="267">ROUND(P303*$F$264,0)</f>
        <v>#N/A</v>
      </c>
      <c r="S303" s="161" t="e">
        <f t="shared" ca="1" si="246"/>
        <v>#N/A</v>
      </c>
      <c r="T303" s="286" t="e">
        <f t="shared" ref="T303:T330" ca="1" si="268">IF(NOT($J303="n/a"),($J303/Q303),0)</f>
        <v>#N/A</v>
      </c>
      <c r="U303" s="285">
        <f t="shared" ref="U303:U330" si="269">_xlfn.LOGNORM.DIST($C303, U$52, U$53, FALSE)</f>
        <v>1.7713611545843758E-5</v>
      </c>
      <c r="V303" s="99">
        <f t="shared" si="243"/>
        <v>1.8E-5</v>
      </c>
      <c r="W303" s="99">
        <f t="shared" si="247"/>
        <v>0.99993799999999999</v>
      </c>
      <c r="X303" s="99" t="e">
        <f t="shared" ref="X303:X330" ca="1" si="270">ROUND(V303*$F$265,0)</f>
        <v>#N/A</v>
      </c>
      <c r="Y303" s="161" t="e">
        <f t="shared" ca="1" si="257"/>
        <v>#N/A</v>
      </c>
      <c r="Z303" s="286" t="e">
        <f t="shared" ref="Z303:Z330" ca="1" si="271">IF(NOT($J303="n/a"),($J303/W303),0)</f>
        <v>#N/A</v>
      </c>
      <c r="AA303" s="285">
        <f t="shared" ref="AA303:AA330" si="272">_xlfn.LOGNORM.DIST($C303, AA$52, AA$53, FALSE)</f>
        <v>5.2543699443135632E-3</v>
      </c>
      <c r="AB303" s="99">
        <f t="shared" ref="AB303:AB330" si="273">IF(ROUND(AA303/AA$331,6)&lt;0.000001,0.000001,ROUND(AA303/AA$331,6))</f>
        <v>5.326E-3</v>
      </c>
      <c r="AC303" s="99">
        <f t="shared" si="248"/>
        <v>0.94216999999999995</v>
      </c>
      <c r="AD303" s="99" t="e">
        <f t="shared" ref="AD303:AD330" ca="1" si="274">ROUND(AB303*$F$266,0)</f>
        <v>#N/A</v>
      </c>
      <c r="AE303" s="161" t="e">
        <f t="shared" ca="1" si="249"/>
        <v>#N/A</v>
      </c>
      <c r="AF303" s="286" t="e">
        <f t="shared" ref="AF303:AF330" ca="1" si="275">IF(NOT($J303="n/a"),($J303/AC303),0)</f>
        <v>#N/A</v>
      </c>
      <c r="AG303" s="285">
        <f t="shared" ref="AG303:AG330" si="276">_xlfn.LOGNORM.DIST($C303, AG$52, AG$53, FALSE)</f>
        <v>2.4514978593229062E-3</v>
      </c>
      <c r="AH303" s="99">
        <f t="shared" ref="AH303:AH330" si="277">ROUND(AG303/AG$331,6)</f>
        <v>2.4559999999999998E-3</v>
      </c>
      <c r="AI303" s="99">
        <f t="shared" si="250"/>
        <v>0.98067199999999988</v>
      </c>
      <c r="AJ303" s="99" t="e">
        <f t="shared" ref="AJ303:AJ330" ca="1" si="278">ROUND(AH303*$G$264,0)</f>
        <v>#N/A</v>
      </c>
      <c r="AK303" s="161" t="e">
        <f t="shared" ca="1" si="251"/>
        <v>#N/A</v>
      </c>
      <c r="AL303" s="286" t="e">
        <f t="shared" ref="AL303:AL330" ca="1" si="279">IF(NOT($J303="n/a"),($J303/AI303),0)</f>
        <v>#N/A</v>
      </c>
      <c r="AM303" s="285">
        <f t="shared" ref="AM303:AM330" si="280">_xlfn.LOGNORM.DIST($C303, AM$52, AM$53, FALSE)</f>
        <v>2.7211543750609306E-3</v>
      </c>
      <c r="AN303" s="99">
        <f t="shared" ref="AN303:AN330" si="281">IF(ROUND(AM303/AM$331,6)&lt;0.000001,0.000001,ROUND(AM303/AM$331,6))</f>
        <v>2.725E-3</v>
      </c>
      <c r="AO303" s="99">
        <f t="shared" si="252"/>
        <v>0.979298</v>
      </c>
      <c r="AP303" s="99" t="e">
        <f t="shared" ref="AP303:AP330" ca="1" si="282">ROUND(AN303*$G$266,0)</f>
        <v>#N/A</v>
      </c>
      <c r="AQ303" s="161" t="e">
        <f t="shared" ca="1" si="253"/>
        <v>#N/A</v>
      </c>
      <c r="AR303" s="286" t="e">
        <f t="shared" ref="AR303:AR330" ca="1" si="283">IF(NOT($J303="n/a"),($J303/AO303),0)</f>
        <v>#N/A</v>
      </c>
      <c r="AS303" s="285">
        <f t="shared" ref="AS303:AS330" si="284">_xlfn.LOGNORM.DIST($C303, AS$52, AS$53, FALSE)</f>
        <v>1.1116309784492268E-3</v>
      </c>
      <c r="AT303" s="99">
        <f t="shared" ref="AT303:AT330" si="285">IF(ROUND(AS303/AS$331,6)&lt;0.000001,0.000001,ROUND(AS303/AS$331,6))</f>
        <v>1.1119999999999999E-3</v>
      </c>
      <c r="AU303" s="99">
        <f t="shared" si="254"/>
        <v>0.99237500000000012</v>
      </c>
      <c r="AV303" s="99" t="e">
        <f t="shared" ref="AV303:AV330" ca="1" si="286">ROUND(AT303*$G$265,0)</f>
        <v>#N/A</v>
      </c>
      <c r="AW303" s="161" t="e">
        <f t="shared" ca="1" si="255"/>
        <v>#N/A</v>
      </c>
      <c r="AX303" s="286" t="e">
        <f t="shared" ref="AX303:AX330" ca="1" si="287">IF(NOT($J303="n/a"),($J303/AU303),0)</f>
        <v>#N/A</v>
      </c>
    </row>
    <row r="304" spans="2:50" x14ac:dyDescent="0.25">
      <c r="B304" s="104">
        <f t="shared" si="244"/>
        <v>33</v>
      </c>
      <c r="C304" s="94">
        <v>34</v>
      </c>
      <c r="D304" s="94">
        <f t="shared" si="259"/>
        <v>5.7805033029371478E-4</v>
      </c>
      <c r="E304" s="94">
        <f t="shared" si="260"/>
        <v>5.7799999999999995E-4</v>
      </c>
      <c r="F304" s="94">
        <f t="shared" si="240"/>
        <v>0.99642600000000003</v>
      </c>
      <c r="G304" s="94" t="e">
        <f t="shared" ca="1" si="261"/>
        <v>#N/A</v>
      </c>
      <c r="H304" s="94" t="e">
        <f t="shared" ca="1" si="262"/>
        <v>#N/A</v>
      </c>
      <c r="I304" s="161" t="e">
        <f t="shared" ca="1" si="258"/>
        <v>#N/A</v>
      </c>
      <c r="J304" s="156" t="e">
        <f t="shared" ca="1" si="256"/>
        <v>#N/A</v>
      </c>
      <c r="K304" s="160" t="e">
        <f t="shared" ca="1" si="241"/>
        <v>#N/A</v>
      </c>
      <c r="L304" s="101" t="e">
        <f t="shared" ca="1" si="263"/>
        <v>#N/A</v>
      </c>
      <c r="M304" s="101" t="e">
        <f t="shared" ca="1" si="264"/>
        <v>#N/A</v>
      </c>
      <c r="N304" s="101" t="e">
        <f t="shared" ca="1" si="242"/>
        <v>#N/A</v>
      </c>
      <c r="O304" s="285">
        <f t="shared" si="265"/>
        <v>5.7805033029371478E-4</v>
      </c>
      <c r="P304" s="99">
        <f t="shared" si="266"/>
        <v>5.7799999999999995E-4</v>
      </c>
      <c r="Q304" s="99">
        <f t="shared" si="245"/>
        <v>0.99642600000000003</v>
      </c>
      <c r="R304" s="99" t="e">
        <f t="shared" ca="1" si="267"/>
        <v>#N/A</v>
      </c>
      <c r="S304" s="161" t="e">
        <f t="shared" ca="1" si="246"/>
        <v>#N/A</v>
      </c>
      <c r="T304" s="286" t="e">
        <f t="shared" ca="1" si="268"/>
        <v>#N/A</v>
      </c>
      <c r="U304" s="285">
        <f t="shared" si="269"/>
        <v>1.3642543385587615E-5</v>
      </c>
      <c r="V304" s="99">
        <f t="shared" ref="V304:V330" si="288">IF(ROUND(U304/U$260,6)&lt;0.000001,0.000001,ROUND(U304/U$260,6))</f>
        <v>1.4E-5</v>
      </c>
      <c r="W304" s="99">
        <f t="shared" si="247"/>
        <v>0.99995199999999995</v>
      </c>
      <c r="X304" s="99" t="e">
        <f t="shared" ca="1" si="270"/>
        <v>#N/A</v>
      </c>
      <c r="Y304" s="161" t="e">
        <f t="shared" ca="1" si="257"/>
        <v>#N/A</v>
      </c>
      <c r="Z304" s="286" t="e">
        <f t="shared" ca="1" si="271"/>
        <v>#N/A</v>
      </c>
      <c r="AA304" s="285">
        <f t="shared" si="272"/>
        <v>4.8281968639874127E-3</v>
      </c>
      <c r="AB304" s="99">
        <f t="shared" si="273"/>
        <v>4.8939999999999999E-3</v>
      </c>
      <c r="AC304" s="99">
        <f t="shared" si="248"/>
        <v>0.94706399999999991</v>
      </c>
      <c r="AD304" s="99" t="e">
        <f t="shared" ca="1" si="274"/>
        <v>#N/A</v>
      </c>
      <c r="AE304" s="161" t="e">
        <f t="shared" ca="1" si="249"/>
        <v>#N/A</v>
      </c>
      <c r="AF304" s="286" t="e">
        <f t="shared" ca="1" si="275"/>
        <v>#N/A</v>
      </c>
      <c r="AG304" s="285">
        <f t="shared" si="276"/>
        <v>2.1677552468702234E-3</v>
      </c>
      <c r="AH304" s="99">
        <f t="shared" si="277"/>
        <v>2.1710000000000002E-3</v>
      </c>
      <c r="AI304" s="99">
        <f t="shared" si="250"/>
        <v>0.98284299999999991</v>
      </c>
      <c r="AJ304" s="99" t="e">
        <f t="shared" ca="1" si="278"/>
        <v>#N/A</v>
      </c>
      <c r="AK304" s="161" t="e">
        <f t="shared" ca="1" si="251"/>
        <v>#N/A</v>
      </c>
      <c r="AL304" s="286" t="e">
        <f t="shared" ca="1" si="279"/>
        <v>#N/A</v>
      </c>
      <c r="AM304" s="285">
        <f t="shared" si="280"/>
        <v>2.3966956985784667E-3</v>
      </c>
      <c r="AN304" s="99">
        <f t="shared" si="281"/>
        <v>2.3999999999999998E-3</v>
      </c>
      <c r="AO304" s="99">
        <f t="shared" si="252"/>
        <v>0.98169799999999996</v>
      </c>
      <c r="AP304" s="99" t="e">
        <f t="shared" ca="1" si="282"/>
        <v>#N/A</v>
      </c>
      <c r="AQ304" s="161" t="e">
        <f t="shared" ca="1" si="253"/>
        <v>#N/A</v>
      </c>
      <c r="AR304" s="286" t="e">
        <f t="shared" ca="1" si="283"/>
        <v>#N/A</v>
      </c>
      <c r="AS304" s="285">
        <f t="shared" si="284"/>
        <v>9.6370024397258362E-4</v>
      </c>
      <c r="AT304" s="99">
        <f t="shared" si="285"/>
        <v>9.6400000000000001E-4</v>
      </c>
      <c r="AU304" s="99">
        <f t="shared" si="254"/>
        <v>0.99333900000000008</v>
      </c>
      <c r="AV304" s="99" t="e">
        <f t="shared" ca="1" si="286"/>
        <v>#N/A</v>
      </c>
      <c r="AW304" s="161" t="e">
        <f t="shared" ca="1" si="255"/>
        <v>#N/A</v>
      </c>
      <c r="AX304" s="286" t="e">
        <f t="shared" ca="1" si="287"/>
        <v>#N/A</v>
      </c>
    </row>
    <row r="305" spans="2:50" x14ac:dyDescent="0.25">
      <c r="B305" s="104">
        <f t="shared" si="244"/>
        <v>34</v>
      </c>
      <c r="C305" s="94">
        <v>35</v>
      </c>
      <c r="D305" s="94">
        <f t="shared" si="259"/>
        <v>4.9391107854956278E-4</v>
      </c>
      <c r="E305" s="94">
        <f t="shared" si="260"/>
        <v>4.9399999999999997E-4</v>
      </c>
      <c r="F305" s="94">
        <f t="shared" si="240"/>
        <v>0.99692000000000003</v>
      </c>
      <c r="G305" s="94" t="e">
        <f t="shared" ca="1" si="261"/>
        <v>#N/A</v>
      </c>
      <c r="H305" s="94" t="e">
        <f t="shared" ca="1" si="262"/>
        <v>#N/A</v>
      </c>
      <c r="I305" s="161" t="e">
        <f t="shared" ca="1" si="258"/>
        <v>#N/A</v>
      </c>
      <c r="J305" s="156" t="e">
        <f t="shared" ca="1" si="256"/>
        <v>#N/A</v>
      </c>
      <c r="K305" s="160" t="e">
        <f t="shared" ca="1" si="241"/>
        <v>#N/A</v>
      </c>
      <c r="L305" s="101" t="e">
        <f t="shared" ca="1" si="263"/>
        <v>#N/A</v>
      </c>
      <c r="M305" s="101" t="e">
        <f t="shared" ca="1" si="264"/>
        <v>#N/A</v>
      </c>
      <c r="N305" s="101" t="e">
        <f t="shared" ca="1" si="242"/>
        <v>#N/A</v>
      </c>
      <c r="O305" s="285">
        <f t="shared" si="265"/>
        <v>4.9391107854956278E-4</v>
      </c>
      <c r="P305" s="99">
        <f t="shared" si="266"/>
        <v>4.9399999999999997E-4</v>
      </c>
      <c r="Q305" s="99">
        <f t="shared" si="245"/>
        <v>0.99692000000000003</v>
      </c>
      <c r="R305" s="99" t="e">
        <f t="shared" ca="1" si="267"/>
        <v>#N/A</v>
      </c>
      <c r="S305" s="161" t="e">
        <f t="shared" ca="1" si="246"/>
        <v>#N/A</v>
      </c>
      <c r="T305" s="286" t="e">
        <f t="shared" ca="1" si="268"/>
        <v>#N/A</v>
      </c>
      <c r="U305" s="285">
        <f t="shared" si="269"/>
        <v>1.0550132093134681E-5</v>
      </c>
      <c r="V305" s="99">
        <f t="shared" si="288"/>
        <v>1.1E-5</v>
      </c>
      <c r="W305" s="99">
        <f t="shared" si="247"/>
        <v>0.99996299999999994</v>
      </c>
      <c r="X305" s="99" t="e">
        <f t="shared" ca="1" si="270"/>
        <v>#N/A</v>
      </c>
      <c r="Y305" s="161" t="e">
        <f t="shared" ca="1" si="257"/>
        <v>#N/A</v>
      </c>
      <c r="Z305" s="286" t="e">
        <f t="shared" ca="1" si="271"/>
        <v>#N/A</v>
      </c>
      <c r="AA305" s="285">
        <f t="shared" si="272"/>
        <v>4.4415895189704024E-3</v>
      </c>
      <c r="AB305" s="99">
        <f t="shared" si="273"/>
        <v>4.5019999999999999E-3</v>
      </c>
      <c r="AC305" s="99">
        <f t="shared" si="248"/>
        <v>0.95156599999999991</v>
      </c>
      <c r="AD305" s="99" t="e">
        <f t="shared" ca="1" si="274"/>
        <v>#N/A</v>
      </c>
      <c r="AE305" s="161" t="e">
        <f t="shared" ca="1" si="249"/>
        <v>#N/A</v>
      </c>
      <c r="AF305" s="286" t="e">
        <f t="shared" ca="1" si="275"/>
        <v>#N/A</v>
      </c>
      <c r="AG305" s="285">
        <f t="shared" si="276"/>
        <v>1.9198459348662605E-3</v>
      </c>
      <c r="AH305" s="99">
        <f t="shared" si="277"/>
        <v>1.923E-3</v>
      </c>
      <c r="AI305" s="99">
        <f t="shared" si="250"/>
        <v>0.98476599999999992</v>
      </c>
      <c r="AJ305" s="99" t="e">
        <f t="shared" ca="1" si="278"/>
        <v>#N/A</v>
      </c>
      <c r="AK305" s="161" t="e">
        <f t="shared" ca="1" si="251"/>
        <v>#N/A</v>
      </c>
      <c r="AL305" s="286" t="e">
        <f t="shared" ca="1" si="279"/>
        <v>#N/A</v>
      </c>
      <c r="AM305" s="285">
        <f t="shared" si="280"/>
        <v>2.1139823004712763E-3</v>
      </c>
      <c r="AN305" s="99">
        <f t="shared" si="281"/>
        <v>2.117E-3</v>
      </c>
      <c r="AO305" s="99">
        <f t="shared" si="252"/>
        <v>0.983815</v>
      </c>
      <c r="AP305" s="99" t="e">
        <f t="shared" ca="1" si="282"/>
        <v>#N/A</v>
      </c>
      <c r="AQ305" s="161" t="e">
        <f t="shared" ca="1" si="253"/>
        <v>#N/A</v>
      </c>
      <c r="AR305" s="286" t="e">
        <f t="shared" ca="1" si="283"/>
        <v>#N/A</v>
      </c>
      <c r="AS305" s="285">
        <f t="shared" si="284"/>
        <v>8.3715437020774901E-4</v>
      </c>
      <c r="AT305" s="99">
        <f t="shared" si="285"/>
        <v>8.3799999999999999E-4</v>
      </c>
      <c r="AU305" s="99">
        <f t="shared" si="254"/>
        <v>0.99417700000000009</v>
      </c>
      <c r="AV305" s="99" t="e">
        <f t="shared" ca="1" si="286"/>
        <v>#N/A</v>
      </c>
      <c r="AW305" s="161" t="e">
        <f t="shared" ca="1" si="255"/>
        <v>#N/A</v>
      </c>
      <c r="AX305" s="286" t="e">
        <f t="shared" ca="1" si="287"/>
        <v>#N/A</v>
      </c>
    </row>
    <row r="306" spans="2:50" x14ac:dyDescent="0.25">
      <c r="B306" s="104">
        <f t="shared" si="244"/>
        <v>35</v>
      </c>
      <c r="C306" s="94">
        <v>36</v>
      </c>
      <c r="D306" s="94">
        <f t="shared" si="259"/>
        <v>4.2295983677622669E-4</v>
      </c>
      <c r="E306" s="94">
        <f t="shared" si="260"/>
        <v>4.2299999999999998E-4</v>
      </c>
      <c r="F306" s="94">
        <f t="shared" si="240"/>
        <v>0.99734299999999998</v>
      </c>
      <c r="G306" s="94" t="e">
        <f t="shared" ca="1" si="261"/>
        <v>#N/A</v>
      </c>
      <c r="H306" s="94" t="e">
        <f t="shared" ca="1" si="262"/>
        <v>#N/A</v>
      </c>
      <c r="I306" s="161" t="e">
        <f t="shared" ca="1" si="258"/>
        <v>#N/A</v>
      </c>
      <c r="J306" s="156" t="e">
        <f t="shared" ca="1" si="256"/>
        <v>#N/A</v>
      </c>
      <c r="K306" s="160" t="e">
        <f t="shared" ca="1" si="241"/>
        <v>#N/A</v>
      </c>
      <c r="L306" s="101" t="e">
        <f t="shared" ca="1" si="263"/>
        <v>#N/A</v>
      </c>
      <c r="M306" s="101" t="e">
        <f t="shared" ca="1" si="264"/>
        <v>#N/A</v>
      </c>
      <c r="N306" s="101" t="e">
        <f t="shared" ca="1" si="242"/>
        <v>#N/A</v>
      </c>
      <c r="O306" s="285">
        <f t="shared" si="265"/>
        <v>4.2295983677622669E-4</v>
      </c>
      <c r="P306" s="99">
        <f t="shared" si="266"/>
        <v>4.2299999999999998E-4</v>
      </c>
      <c r="Q306" s="99">
        <f t="shared" si="245"/>
        <v>0.99734299999999998</v>
      </c>
      <c r="R306" s="99" t="e">
        <f t="shared" ca="1" si="267"/>
        <v>#N/A</v>
      </c>
      <c r="S306" s="161" t="e">
        <f t="shared" ca="1" si="246"/>
        <v>#N/A</v>
      </c>
      <c r="T306" s="286" t="e">
        <f t="shared" ca="1" si="268"/>
        <v>#N/A</v>
      </c>
      <c r="U306" s="285">
        <f t="shared" si="269"/>
        <v>8.1909982879852588E-6</v>
      </c>
      <c r="V306" s="99">
        <f t="shared" si="288"/>
        <v>7.9999999999999996E-6</v>
      </c>
      <c r="W306" s="99">
        <f t="shared" si="247"/>
        <v>0.99997099999999994</v>
      </c>
      <c r="X306" s="99" t="e">
        <f t="shared" ca="1" si="270"/>
        <v>#N/A</v>
      </c>
      <c r="Y306" s="161" t="e">
        <f t="shared" ca="1" si="257"/>
        <v>#N/A</v>
      </c>
      <c r="Z306" s="286" t="e">
        <f t="shared" ca="1" si="271"/>
        <v>#N/A</v>
      </c>
      <c r="AA306" s="285">
        <f t="shared" si="272"/>
        <v>4.090434380257405E-3</v>
      </c>
      <c r="AB306" s="99">
        <f t="shared" si="273"/>
        <v>4.1460000000000004E-3</v>
      </c>
      <c r="AC306" s="99">
        <f t="shared" si="248"/>
        <v>0.95571199999999989</v>
      </c>
      <c r="AD306" s="99" t="e">
        <f t="shared" ca="1" si="274"/>
        <v>#N/A</v>
      </c>
      <c r="AE306" s="161" t="e">
        <f t="shared" ca="1" si="249"/>
        <v>#N/A</v>
      </c>
      <c r="AF306" s="286" t="e">
        <f t="shared" ca="1" si="275"/>
        <v>#N/A</v>
      </c>
      <c r="AG306" s="285">
        <f t="shared" si="276"/>
        <v>1.7028874546893668E-3</v>
      </c>
      <c r="AH306" s="99">
        <f t="shared" si="277"/>
        <v>1.7060000000000001E-3</v>
      </c>
      <c r="AI306" s="99">
        <f t="shared" si="250"/>
        <v>0.9864719999999999</v>
      </c>
      <c r="AJ306" s="99" t="e">
        <f t="shared" ca="1" si="278"/>
        <v>#N/A</v>
      </c>
      <c r="AK306" s="161" t="e">
        <f t="shared" ca="1" si="251"/>
        <v>#N/A</v>
      </c>
      <c r="AL306" s="286" t="e">
        <f t="shared" ca="1" si="279"/>
        <v>#N/A</v>
      </c>
      <c r="AM306" s="285">
        <f t="shared" si="280"/>
        <v>1.8672825590450083E-3</v>
      </c>
      <c r="AN306" s="99">
        <f t="shared" si="281"/>
        <v>1.8699999999999999E-3</v>
      </c>
      <c r="AO306" s="99">
        <f t="shared" si="252"/>
        <v>0.98568500000000003</v>
      </c>
      <c r="AP306" s="99" t="e">
        <f t="shared" ca="1" si="282"/>
        <v>#N/A</v>
      </c>
      <c r="AQ306" s="161" t="e">
        <f t="shared" ca="1" si="253"/>
        <v>#N/A</v>
      </c>
      <c r="AR306" s="286" t="e">
        <f t="shared" ca="1" si="283"/>
        <v>#N/A</v>
      </c>
      <c r="AS306" s="285">
        <f t="shared" si="284"/>
        <v>7.2866364282193018E-4</v>
      </c>
      <c r="AT306" s="99">
        <f t="shared" si="285"/>
        <v>7.2900000000000005E-4</v>
      </c>
      <c r="AU306" s="99">
        <f t="shared" si="254"/>
        <v>0.99490600000000007</v>
      </c>
      <c r="AV306" s="99" t="e">
        <f t="shared" ca="1" si="286"/>
        <v>#N/A</v>
      </c>
      <c r="AW306" s="161" t="e">
        <f t="shared" ca="1" si="255"/>
        <v>#N/A</v>
      </c>
      <c r="AX306" s="286" t="e">
        <f t="shared" ca="1" si="287"/>
        <v>#N/A</v>
      </c>
    </row>
    <row r="307" spans="2:50" x14ac:dyDescent="0.25">
      <c r="B307" s="104">
        <f t="shared" si="244"/>
        <v>36</v>
      </c>
      <c r="C307" s="94">
        <v>37</v>
      </c>
      <c r="D307" s="94">
        <f t="shared" si="259"/>
        <v>3.6298577568375672E-4</v>
      </c>
      <c r="E307" s="94">
        <f t="shared" si="260"/>
        <v>3.6299999999999999E-4</v>
      </c>
      <c r="F307" s="94">
        <f t="shared" si="240"/>
        <v>0.99770599999999998</v>
      </c>
      <c r="G307" s="94" t="e">
        <f t="shared" ca="1" si="261"/>
        <v>#N/A</v>
      </c>
      <c r="H307" s="94" t="e">
        <f t="shared" ca="1" si="262"/>
        <v>#N/A</v>
      </c>
      <c r="I307" s="161" t="e">
        <f t="shared" ca="1" si="258"/>
        <v>#N/A</v>
      </c>
      <c r="J307" s="156" t="e">
        <f t="shared" ca="1" si="256"/>
        <v>#N/A</v>
      </c>
      <c r="K307" s="160" t="e">
        <f t="shared" ca="1" si="241"/>
        <v>#N/A</v>
      </c>
      <c r="L307" s="101" t="e">
        <f t="shared" ca="1" si="263"/>
        <v>#N/A</v>
      </c>
      <c r="M307" s="101" t="e">
        <f t="shared" ca="1" si="264"/>
        <v>#N/A</v>
      </c>
      <c r="N307" s="101" t="e">
        <f t="shared" ca="1" si="242"/>
        <v>#N/A</v>
      </c>
      <c r="O307" s="285">
        <f t="shared" si="265"/>
        <v>3.6298577568375672E-4</v>
      </c>
      <c r="P307" s="99">
        <f t="shared" si="266"/>
        <v>3.6299999999999999E-4</v>
      </c>
      <c r="Q307" s="99">
        <f t="shared" si="245"/>
        <v>0.99770599999999998</v>
      </c>
      <c r="R307" s="99" t="e">
        <f t="shared" ca="1" si="267"/>
        <v>#N/A</v>
      </c>
      <c r="S307" s="161" t="e">
        <f t="shared" ca="1" si="246"/>
        <v>#N/A</v>
      </c>
      <c r="T307" s="286" t="e">
        <f t="shared" ca="1" si="268"/>
        <v>#N/A</v>
      </c>
      <c r="U307" s="285">
        <f t="shared" si="269"/>
        <v>6.3837622729134405E-6</v>
      </c>
      <c r="V307" s="99">
        <f t="shared" si="288"/>
        <v>6.0000000000000002E-6</v>
      </c>
      <c r="W307" s="99">
        <f t="shared" si="247"/>
        <v>0.99997699999999989</v>
      </c>
      <c r="X307" s="99" t="e">
        <f t="shared" ca="1" si="270"/>
        <v>#N/A</v>
      </c>
      <c r="Y307" s="161" t="e">
        <f t="shared" ca="1" si="257"/>
        <v>#N/A</v>
      </c>
      <c r="Z307" s="286" t="e">
        <f t="shared" ca="1" si="271"/>
        <v>#N/A</v>
      </c>
      <c r="AA307" s="285">
        <f t="shared" si="272"/>
        <v>3.7710867249563132E-3</v>
      </c>
      <c r="AB307" s="99">
        <f t="shared" si="273"/>
        <v>3.823E-3</v>
      </c>
      <c r="AC307" s="99">
        <f t="shared" si="248"/>
        <v>0.95953499999999992</v>
      </c>
      <c r="AD307" s="99" t="e">
        <f t="shared" ca="1" si="274"/>
        <v>#N/A</v>
      </c>
      <c r="AE307" s="161" t="e">
        <f t="shared" ca="1" si="249"/>
        <v>#N/A</v>
      </c>
      <c r="AF307" s="286" t="e">
        <f t="shared" ca="1" si="275"/>
        <v>#N/A</v>
      </c>
      <c r="AG307" s="285">
        <f t="shared" si="276"/>
        <v>1.5127070079854355E-3</v>
      </c>
      <c r="AH307" s="99">
        <f t="shared" si="277"/>
        <v>1.5150000000000001E-3</v>
      </c>
      <c r="AI307" s="99">
        <f t="shared" si="250"/>
        <v>0.98798699999999995</v>
      </c>
      <c r="AJ307" s="99" t="e">
        <f t="shared" ca="1" si="278"/>
        <v>#N/A</v>
      </c>
      <c r="AK307" s="161" t="e">
        <f t="shared" ca="1" si="251"/>
        <v>#N/A</v>
      </c>
      <c r="AL307" s="286" t="e">
        <f t="shared" ca="1" si="279"/>
        <v>#N/A</v>
      </c>
      <c r="AM307" s="285">
        <f t="shared" si="280"/>
        <v>1.6516945249004115E-3</v>
      </c>
      <c r="AN307" s="99">
        <f t="shared" si="281"/>
        <v>1.6540000000000001E-3</v>
      </c>
      <c r="AO307" s="99">
        <f t="shared" si="252"/>
        <v>0.98733900000000008</v>
      </c>
      <c r="AP307" s="99" t="e">
        <f t="shared" ca="1" si="282"/>
        <v>#N/A</v>
      </c>
      <c r="AQ307" s="161" t="e">
        <f t="shared" ca="1" si="253"/>
        <v>#N/A</v>
      </c>
      <c r="AR307" s="286" t="e">
        <f t="shared" ca="1" si="283"/>
        <v>#N/A</v>
      </c>
      <c r="AS307" s="285">
        <f t="shared" si="284"/>
        <v>6.3545231466214649E-4</v>
      </c>
      <c r="AT307" s="99">
        <f t="shared" si="285"/>
        <v>6.3599999999999996E-4</v>
      </c>
      <c r="AU307" s="99">
        <f t="shared" si="254"/>
        <v>0.99554200000000004</v>
      </c>
      <c r="AV307" s="99" t="e">
        <f t="shared" ca="1" si="286"/>
        <v>#N/A</v>
      </c>
      <c r="AW307" s="161" t="e">
        <f t="shared" ca="1" si="255"/>
        <v>#N/A</v>
      </c>
      <c r="AX307" s="286" t="e">
        <f t="shared" ca="1" si="287"/>
        <v>#N/A</v>
      </c>
    </row>
    <row r="308" spans="2:50" x14ac:dyDescent="0.25">
      <c r="B308" s="104">
        <f t="shared" si="244"/>
        <v>37</v>
      </c>
      <c r="C308" s="94">
        <v>38</v>
      </c>
      <c r="D308" s="94">
        <f t="shared" si="259"/>
        <v>3.1217194752108175E-4</v>
      </c>
      <c r="E308" s="94">
        <f t="shared" si="260"/>
        <v>3.1199999999999999E-4</v>
      </c>
      <c r="F308" s="94">
        <f t="shared" si="240"/>
        <v>0.99801799999999996</v>
      </c>
      <c r="G308" s="94" t="e">
        <f t="shared" ca="1" si="261"/>
        <v>#N/A</v>
      </c>
      <c r="H308" s="94" t="e">
        <f t="shared" ca="1" si="262"/>
        <v>#N/A</v>
      </c>
      <c r="I308" s="161" t="e">
        <f t="shared" ca="1" si="258"/>
        <v>#N/A</v>
      </c>
      <c r="J308" s="156" t="e">
        <f t="shared" ca="1" si="256"/>
        <v>#N/A</v>
      </c>
      <c r="K308" s="160" t="e">
        <f t="shared" ca="1" si="241"/>
        <v>#N/A</v>
      </c>
      <c r="L308" s="101" t="e">
        <f t="shared" ca="1" si="263"/>
        <v>#N/A</v>
      </c>
      <c r="M308" s="101" t="e">
        <f t="shared" ca="1" si="264"/>
        <v>#N/A</v>
      </c>
      <c r="N308" s="101" t="e">
        <f t="shared" ca="1" si="242"/>
        <v>#N/A</v>
      </c>
      <c r="O308" s="285">
        <f t="shared" si="265"/>
        <v>3.1217194752108175E-4</v>
      </c>
      <c r="P308" s="99">
        <f t="shared" si="266"/>
        <v>3.1199999999999999E-4</v>
      </c>
      <c r="Q308" s="99">
        <f t="shared" si="245"/>
        <v>0.99801799999999996</v>
      </c>
      <c r="R308" s="99" t="e">
        <f t="shared" ca="1" si="267"/>
        <v>#N/A</v>
      </c>
      <c r="S308" s="161" t="e">
        <f t="shared" ca="1" si="246"/>
        <v>#N/A</v>
      </c>
      <c r="T308" s="286" t="e">
        <f t="shared" ca="1" si="268"/>
        <v>#N/A</v>
      </c>
      <c r="U308" s="285">
        <f t="shared" si="269"/>
        <v>4.9937231582250868E-6</v>
      </c>
      <c r="V308" s="99">
        <f t="shared" si="288"/>
        <v>5.0000000000000004E-6</v>
      </c>
      <c r="W308" s="99">
        <f t="shared" si="247"/>
        <v>0.99998199999999993</v>
      </c>
      <c r="X308" s="99" t="e">
        <f t="shared" ca="1" si="270"/>
        <v>#N/A</v>
      </c>
      <c r="Y308" s="161" t="e">
        <f t="shared" ca="1" si="257"/>
        <v>#N/A</v>
      </c>
      <c r="Z308" s="286" t="e">
        <f t="shared" ca="1" si="271"/>
        <v>#N/A</v>
      </c>
      <c r="AA308" s="285">
        <f t="shared" si="272"/>
        <v>3.4803134085516318E-3</v>
      </c>
      <c r="AB308" s="99">
        <f t="shared" si="273"/>
        <v>3.5279999999999999E-3</v>
      </c>
      <c r="AC308" s="99">
        <f t="shared" si="248"/>
        <v>0.96306299999999989</v>
      </c>
      <c r="AD308" s="99" t="e">
        <f t="shared" ca="1" si="274"/>
        <v>#N/A</v>
      </c>
      <c r="AE308" s="161" t="e">
        <f t="shared" ca="1" si="249"/>
        <v>#N/A</v>
      </c>
      <c r="AF308" s="286" t="e">
        <f t="shared" ca="1" si="275"/>
        <v>#N/A</v>
      </c>
      <c r="AG308" s="285">
        <f t="shared" si="276"/>
        <v>1.3457327698372559E-3</v>
      </c>
      <c r="AH308" s="99">
        <f t="shared" si="277"/>
        <v>1.348E-3</v>
      </c>
      <c r="AI308" s="99">
        <f t="shared" si="250"/>
        <v>0.98933499999999996</v>
      </c>
      <c r="AJ308" s="99" t="e">
        <f t="shared" ca="1" si="278"/>
        <v>#N/A</v>
      </c>
      <c r="AK308" s="161" t="e">
        <f t="shared" ca="1" si="251"/>
        <v>#N/A</v>
      </c>
      <c r="AL308" s="286" t="e">
        <f t="shared" ca="1" si="279"/>
        <v>#N/A</v>
      </c>
      <c r="AM308" s="285">
        <f t="shared" si="280"/>
        <v>1.4630211362433644E-3</v>
      </c>
      <c r="AN308" s="99">
        <f t="shared" si="281"/>
        <v>1.4649999999999999E-3</v>
      </c>
      <c r="AO308" s="99">
        <f t="shared" si="252"/>
        <v>0.98880400000000013</v>
      </c>
      <c r="AP308" s="99" t="e">
        <f t="shared" ca="1" si="282"/>
        <v>#N/A</v>
      </c>
      <c r="AQ308" s="161" t="e">
        <f t="shared" ca="1" si="253"/>
        <v>#N/A</v>
      </c>
      <c r="AR308" s="286" t="e">
        <f t="shared" ca="1" si="283"/>
        <v>#N/A</v>
      </c>
      <c r="AS308" s="285">
        <f t="shared" si="284"/>
        <v>5.5520088464071154E-4</v>
      </c>
      <c r="AT308" s="99">
        <f t="shared" si="285"/>
        <v>5.5500000000000005E-4</v>
      </c>
      <c r="AU308" s="99">
        <f t="shared" si="254"/>
        <v>0.99609700000000001</v>
      </c>
      <c r="AV308" s="99" t="e">
        <f t="shared" ca="1" si="286"/>
        <v>#N/A</v>
      </c>
      <c r="AW308" s="161" t="e">
        <f t="shared" ca="1" si="255"/>
        <v>#N/A</v>
      </c>
      <c r="AX308" s="286" t="e">
        <f t="shared" ca="1" si="287"/>
        <v>#N/A</v>
      </c>
    </row>
    <row r="309" spans="2:50" x14ac:dyDescent="0.25">
      <c r="B309" s="104">
        <f t="shared" si="244"/>
        <v>38</v>
      </c>
      <c r="C309" s="94">
        <v>39</v>
      </c>
      <c r="D309" s="94">
        <f t="shared" si="259"/>
        <v>2.6902115721868207E-4</v>
      </c>
      <c r="E309" s="94">
        <f t="shared" si="260"/>
        <v>2.6899999999999998E-4</v>
      </c>
      <c r="F309" s="94">
        <f t="shared" si="240"/>
        <v>0.99828699999999992</v>
      </c>
      <c r="G309" s="94" t="e">
        <f t="shared" ca="1" si="261"/>
        <v>#N/A</v>
      </c>
      <c r="H309" s="94" t="e">
        <f t="shared" ca="1" si="262"/>
        <v>#N/A</v>
      </c>
      <c r="I309" s="161" t="e">
        <f t="shared" ca="1" si="258"/>
        <v>#N/A</v>
      </c>
      <c r="J309" s="156" t="e">
        <f t="shared" ca="1" si="256"/>
        <v>#N/A</v>
      </c>
      <c r="K309" s="160" t="e">
        <f t="shared" ca="1" si="241"/>
        <v>#N/A</v>
      </c>
      <c r="L309" s="101" t="e">
        <f t="shared" ca="1" si="263"/>
        <v>#N/A</v>
      </c>
      <c r="M309" s="101" t="e">
        <f t="shared" ca="1" si="264"/>
        <v>#N/A</v>
      </c>
      <c r="N309" s="101" t="e">
        <f t="shared" ca="1" si="242"/>
        <v>#N/A</v>
      </c>
      <c r="O309" s="285">
        <f t="shared" si="265"/>
        <v>2.6902115721868207E-4</v>
      </c>
      <c r="P309" s="99">
        <f t="shared" si="266"/>
        <v>2.6899999999999998E-4</v>
      </c>
      <c r="Q309" s="99">
        <f t="shared" si="245"/>
        <v>0.99828699999999992</v>
      </c>
      <c r="R309" s="99" t="e">
        <f t="shared" ca="1" si="267"/>
        <v>#N/A</v>
      </c>
      <c r="S309" s="161" t="e">
        <f t="shared" ca="1" si="246"/>
        <v>#N/A</v>
      </c>
      <c r="T309" s="286" t="e">
        <f t="shared" ca="1" si="268"/>
        <v>#N/A</v>
      </c>
      <c r="U309" s="285">
        <f t="shared" si="269"/>
        <v>3.920390866871338E-6</v>
      </c>
      <c r="V309" s="99">
        <f t="shared" si="288"/>
        <v>3.9999999999999998E-6</v>
      </c>
      <c r="W309" s="99">
        <f t="shared" si="247"/>
        <v>0.99998599999999993</v>
      </c>
      <c r="X309" s="99" t="e">
        <f t="shared" ca="1" si="270"/>
        <v>#N/A</v>
      </c>
      <c r="Y309" s="161" t="e">
        <f t="shared" ca="1" si="257"/>
        <v>#N/A</v>
      </c>
      <c r="Z309" s="286" t="e">
        <f t="shared" ca="1" si="271"/>
        <v>#N/A</v>
      </c>
      <c r="AA309" s="285">
        <f t="shared" si="272"/>
        <v>3.2152429017394328E-3</v>
      </c>
      <c r="AB309" s="99">
        <f t="shared" si="273"/>
        <v>3.2590000000000002E-3</v>
      </c>
      <c r="AC309" s="99">
        <f t="shared" si="248"/>
        <v>0.9663219999999999</v>
      </c>
      <c r="AD309" s="99" t="e">
        <f t="shared" ca="1" si="274"/>
        <v>#N/A</v>
      </c>
      <c r="AE309" s="161" t="e">
        <f t="shared" ca="1" si="249"/>
        <v>#N/A</v>
      </c>
      <c r="AF309" s="286" t="e">
        <f t="shared" ca="1" si="275"/>
        <v>#N/A</v>
      </c>
      <c r="AG309" s="285">
        <f t="shared" si="276"/>
        <v>1.1989024809949645E-3</v>
      </c>
      <c r="AH309" s="99">
        <f t="shared" si="277"/>
        <v>1.201E-3</v>
      </c>
      <c r="AI309" s="99">
        <f t="shared" si="250"/>
        <v>0.99053599999999997</v>
      </c>
      <c r="AJ309" s="99" t="e">
        <f t="shared" ca="1" si="278"/>
        <v>#N/A</v>
      </c>
      <c r="AK309" s="161" t="e">
        <f t="shared" ca="1" si="251"/>
        <v>#N/A</v>
      </c>
      <c r="AL309" s="286" t="e">
        <f t="shared" ca="1" si="279"/>
        <v>#N/A</v>
      </c>
      <c r="AM309" s="285">
        <f t="shared" si="280"/>
        <v>1.2976645461378743E-3</v>
      </c>
      <c r="AN309" s="99">
        <f t="shared" si="281"/>
        <v>1.2999999999999999E-3</v>
      </c>
      <c r="AO309" s="99">
        <f t="shared" si="252"/>
        <v>0.9901040000000001</v>
      </c>
      <c r="AP309" s="99" t="e">
        <f t="shared" ca="1" si="282"/>
        <v>#N/A</v>
      </c>
      <c r="AQ309" s="161" t="e">
        <f t="shared" ca="1" si="253"/>
        <v>#N/A</v>
      </c>
      <c r="AR309" s="286" t="e">
        <f t="shared" ca="1" si="283"/>
        <v>#N/A</v>
      </c>
      <c r="AS309" s="285">
        <f t="shared" si="284"/>
        <v>4.8596651401152811E-4</v>
      </c>
      <c r="AT309" s="99">
        <f t="shared" si="285"/>
        <v>4.86E-4</v>
      </c>
      <c r="AU309" s="99">
        <f t="shared" si="254"/>
        <v>0.996583</v>
      </c>
      <c r="AV309" s="99" t="e">
        <f t="shared" ca="1" si="286"/>
        <v>#N/A</v>
      </c>
      <c r="AW309" s="161" t="e">
        <f t="shared" ca="1" si="255"/>
        <v>#N/A</v>
      </c>
      <c r="AX309" s="286" t="e">
        <f t="shared" ca="1" si="287"/>
        <v>#N/A</v>
      </c>
    </row>
    <row r="310" spans="2:50" x14ac:dyDescent="0.25">
      <c r="B310" s="104">
        <f t="shared" si="244"/>
        <v>39</v>
      </c>
      <c r="C310" s="94">
        <v>40</v>
      </c>
      <c r="D310" s="94">
        <f t="shared" si="259"/>
        <v>2.3229648465483449E-4</v>
      </c>
      <c r="E310" s="94">
        <f t="shared" si="260"/>
        <v>2.32E-4</v>
      </c>
      <c r="F310" s="94">
        <f t="shared" si="240"/>
        <v>0.99851899999999993</v>
      </c>
      <c r="G310" s="94" t="e">
        <f t="shared" ca="1" si="261"/>
        <v>#N/A</v>
      </c>
      <c r="H310" s="94" t="e">
        <f t="shared" ca="1" si="262"/>
        <v>#N/A</v>
      </c>
      <c r="I310" s="161" t="e">
        <f t="shared" ca="1" si="258"/>
        <v>#N/A</v>
      </c>
      <c r="J310" s="156" t="e">
        <f t="shared" ca="1" si="256"/>
        <v>#N/A</v>
      </c>
      <c r="K310" s="160" t="e">
        <f t="shared" ca="1" si="241"/>
        <v>#N/A</v>
      </c>
      <c r="L310" s="101" t="e">
        <f t="shared" ca="1" si="263"/>
        <v>#N/A</v>
      </c>
      <c r="M310" s="101" t="e">
        <f t="shared" ca="1" si="264"/>
        <v>#N/A</v>
      </c>
      <c r="N310" s="101" t="e">
        <f t="shared" ca="1" si="242"/>
        <v>#N/A</v>
      </c>
      <c r="O310" s="285">
        <f t="shared" si="265"/>
        <v>2.3229648465483449E-4</v>
      </c>
      <c r="P310" s="99">
        <f t="shared" si="266"/>
        <v>2.32E-4</v>
      </c>
      <c r="Q310" s="99">
        <f t="shared" si="245"/>
        <v>0.99851899999999993</v>
      </c>
      <c r="R310" s="99" t="e">
        <f t="shared" ca="1" si="267"/>
        <v>#N/A</v>
      </c>
      <c r="S310" s="161" t="e">
        <f t="shared" ca="1" si="246"/>
        <v>#N/A</v>
      </c>
      <c r="T310" s="286" t="e">
        <f t="shared" ca="1" si="268"/>
        <v>#N/A</v>
      </c>
      <c r="U310" s="285">
        <f t="shared" si="269"/>
        <v>3.0884665582506449E-6</v>
      </c>
      <c r="V310" s="99">
        <f t="shared" si="288"/>
        <v>3.0000000000000001E-6</v>
      </c>
      <c r="W310" s="99">
        <f t="shared" si="247"/>
        <v>0.99998899999999991</v>
      </c>
      <c r="X310" s="99" t="e">
        <f t="shared" ca="1" si="270"/>
        <v>#N/A</v>
      </c>
      <c r="Y310" s="161" t="e">
        <f t="shared" ca="1" si="257"/>
        <v>#N/A</v>
      </c>
      <c r="Z310" s="286" t="e">
        <f t="shared" ca="1" si="271"/>
        <v>#N/A</v>
      </c>
      <c r="AA310" s="285">
        <f t="shared" si="272"/>
        <v>2.9733216781718469E-3</v>
      </c>
      <c r="AB310" s="99">
        <f t="shared" si="273"/>
        <v>3.0140000000000002E-3</v>
      </c>
      <c r="AC310" s="99">
        <f t="shared" si="248"/>
        <v>0.96933599999999986</v>
      </c>
      <c r="AD310" s="99" t="e">
        <f t="shared" ca="1" si="274"/>
        <v>#N/A</v>
      </c>
      <c r="AE310" s="161" t="e">
        <f t="shared" ca="1" si="249"/>
        <v>#N/A</v>
      </c>
      <c r="AF310" s="286" t="e">
        <f t="shared" ca="1" si="275"/>
        <v>#N/A</v>
      </c>
      <c r="AG310" s="285">
        <f t="shared" si="276"/>
        <v>1.0695865300934875E-3</v>
      </c>
      <c r="AH310" s="99">
        <f t="shared" si="277"/>
        <v>1.0709999999999999E-3</v>
      </c>
      <c r="AI310" s="99">
        <f t="shared" si="250"/>
        <v>0.99160700000000002</v>
      </c>
      <c r="AJ310" s="99" t="e">
        <f t="shared" ca="1" si="278"/>
        <v>#N/A</v>
      </c>
      <c r="AK310" s="161" t="e">
        <f t="shared" ca="1" si="251"/>
        <v>#N/A</v>
      </c>
      <c r="AL310" s="286" t="e">
        <f t="shared" ca="1" si="279"/>
        <v>#N/A</v>
      </c>
      <c r="AM310" s="285">
        <f t="shared" si="280"/>
        <v>1.1525366789865647E-3</v>
      </c>
      <c r="AN310" s="99">
        <f t="shared" si="281"/>
        <v>1.1540000000000001E-3</v>
      </c>
      <c r="AO310" s="99">
        <f t="shared" si="252"/>
        <v>0.99125800000000008</v>
      </c>
      <c r="AP310" s="99" t="e">
        <f t="shared" ca="1" si="282"/>
        <v>#N/A</v>
      </c>
      <c r="AQ310" s="161" t="e">
        <f t="shared" ca="1" si="253"/>
        <v>#N/A</v>
      </c>
      <c r="AR310" s="286" t="e">
        <f t="shared" ca="1" si="283"/>
        <v>#N/A</v>
      </c>
      <c r="AS310" s="285">
        <f t="shared" si="284"/>
        <v>4.2611806665553316E-4</v>
      </c>
      <c r="AT310" s="99">
        <f t="shared" si="285"/>
        <v>4.26E-4</v>
      </c>
      <c r="AU310" s="99">
        <f t="shared" si="254"/>
        <v>0.99700900000000003</v>
      </c>
      <c r="AV310" s="99" t="e">
        <f t="shared" ca="1" si="286"/>
        <v>#N/A</v>
      </c>
      <c r="AW310" s="161" t="e">
        <f t="shared" ca="1" si="255"/>
        <v>#N/A</v>
      </c>
      <c r="AX310" s="286" t="e">
        <f t="shared" ca="1" si="287"/>
        <v>#N/A</v>
      </c>
    </row>
    <row r="311" spans="2:50" x14ac:dyDescent="0.25">
      <c r="B311" s="104">
        <f t="shared" si="244"/>
        <v>40</v>
      </c>
      <c r="C311" s="94">
        <v>41</v>
      </c>
      <c r="D311" s="94">
        <f t="shared" si="259"/>
        <v>2.0097343489636695E-4</v>
      </c>
      <c r="E311" s="94">
        <f t="shared" si="260"/>
        <v>2.0100000000000001E-4</v>
      </c>
      <c r="F311" s="94">
        <f t="shared" si="240"/>
        <v>0.99871999999999994</v>
      </c>
      <c r="G311" s="94" t="e">
        <f t="shared" ca="1" si="261"/>
        <v>#N/A</v>
      </c>
      <c r="H311" s="94" t="e">
        <f t="shared" ca="1" si="262"/>
        <v>#N/A</v>
      </c>
      <c r="I311" s="161" t="e">
        <f t="shared" ca="1" si="258"/>
        <v>#N/A</v>
      </c>
      <c r="J311" s="156" t="e">
        <f t="shared" ca="1" si="256"/>
        <v>#N/A</v>
      </c>
      <c r="K311" s="160" t="e">
        <f t="shared" ca="1" si="241"/>
        <v>#N/A</v>
      </c>
      <c r="L311" s="101" t="e">
        <f t="shared" ca="1" si="263"/>
        <v>#N/A</v>
      </c>
      <c r="M311" s="101" t="e">
        <f t="shared" ca="1" si="264"/>
        <v>#N/A</v>
      </c>
      <c r="N311" s="101" t="e">
        <f t="shared" ca="1" si="242"/>
        <v>#N/A</v>
      </c>
      <c r="O311" s="285">
        <f t="shared" si="265"/>
        <v>2.0097343489636695E-4</v>
      </c>
      <c r="P311" s="99">
        <f t="shared" si="266"/>
        <v>2.0100000000000001E-4</v>
      </c>
      <c r="Q311" s="99">
        <f t="shared" si="245"/>
        <v>0.99871999999999994</v>
      </c>
      <c r="R311" s="99" t="e">
        <f t="shared" ca="1" si="267"/>
        <v>#N/A</v>
      </c>
      <c r="S311" s="161" t="e">
        <f t="shared" ca="1" si="246"/>
        <v>#N/A</v>
      </c>
      <c r="T311" s="286" t="e">
        <f t="shared" ca="1" si="268"/>
        <v>#N/A</v>
      </c>
      <c r="U311" s="285">
        <f t="shared" si="269"/>
        <v>2.4412859885962691E-6</v>
      </c>
      <c r="V311" s="99">
        <f t="shared" si="288"/>
        <v>1.9999999999999999E-6</v>
      </c>
      <c r="W311" s="99">
        <f t="shared" si="247"/>
        <v>0.99999099999999985</v>
      </c>
      <c r="X311" s="99" t="e">
        <f t="shared" ca="1" si="270"/>
        <v>#N/A</v>
      </c>
      <c r="Y311" s="161" t="e">
        <f t="shared" ca="1" si="257"/>
        <v>#N/A</v>
      </c>
      <c r="Z311" s="286" t="e">
        <f t="shared" ca="1" si="271"/>
        <v>#N/A</v>
      </c>
      <c r="AA311" s="285">
        <f t="shared" si="272"/>
        <v>2.752276140952554E-3</v>
      </c>
      <c r="AB311" s="99">
        <f t="shared" si="273"/>
        <v>2.7899999999999999E-3</v>
      </c>
      <c r="AC311" s="99">
        <f t="shared" si="248"/>
        <v>0.97212599999999982</v>
      </c>
      <c r="AD311" s="99" t="e">
        <f t="shared" ca="1" si="274"/>
        <v>#N/A</v>
      </c>
      <c r="AE311" s="161" t="e">
        <f t="shared" ca="1" si="249"/>
        <v>#N/A</v>
      </c>
      <c r="AF311" s="286" t="e">
        <f t="shared" ca="1" si="275"/>
        <v>#N/A</v>
      </c>
      <c r="AG311" s="285">
        <f t="shared" si="276"/>
        <v>9.5552317297304475E-4</v>
      </c>
      <c r="AH311" s="99">
        <f t="shared" si="277"/>
        <v>9.5699999999999995E-4</v>
      </c>
      <c r="AI311" s="99">
        <f t="shared" si="250"/>
        <v>0.992564</v>
      </c>
      <c r="AJ311" s="99" t="e">
        <f t="shared" ca="1" si="278"/>
        <v>#N/A</v>
      </c>
      <c r="AK311" s="161" t="e">
        <f t="shared" ca="1" si="251"/>
        <v>#N/A</v>
      </c>
      <c r="AL311" s="286" t="e">
        <f t="shared" ca="1" si="279"/>
        <v>#N/A</v>
      </c>
      <c r="AM311" s="285">
        <f t="shared" si="280"/>
        <v>1.0249835316369674E-3</v>
      </c>
      <c r="AN311" s="99">
        <f t="shared" si="281"/>
        <v>1.0269999999999999E-3</v>
      </c>
      <c r="AO311" s="99">
        <f t="shared" si="252"/>
        <v>0.99228500000000008</v>
      </c>
      <c r="AP311" s="99" t="e">
        <f t="shared" ca="1" si="282"/>
        <v>#N/A</v>
      </c>
      <c r="AQ311" s="161" t="e">
        <f t="shared" ca="1" si="253"/>
        <v>#N/A</v>
      </c>
      <c r="AR311" s="286" t="e">
        <f t="shared" ca="1" si="283"/>
        <v>#N/A</v>
      </c>
      <c r="AS311" s="285">
        <f t="shared" si="284"/>
        <v>3.7428296382028008E-4</v>
      </c>
      <c r="AT311" s="99">
        <f t="shared" si="285"/>
        <v>3.7399999999999998E-4</v>
      </c>
      <c r="AU311" s="99">
        <f t="shared" si="254"/>
        <v>0.99738300000000002</v>
      </c>
      <c r="AV311" s="99" t="e">
        <f t="shared" ca="1" si="286"/>
        <v>#N/A</v>
      </c>
      <c r="AW311" s="161" t="e">
        <f t="shared" ca="1" si="255"/>
        <v>#N/A</v>
      </c>
      <c r="AX311" s="286" t="e">
        <f t="shared" ca="1" si="287"/>
        <v>#N/A</v>
      </c>
    </row>
    <row r="312" spans="2:50" x14ac:dyDescent="0.25">
      <c r="B312" s="104">
        <f t="shared" si="244"/>
        <v>41</v>
      </c>
      <c r="C312" s="94">
        <v>42</v>
      </c>
      <c r="D312" s="94">
        <f t="shared" si="259"/>
        <v>1.7420134051864008E-4</v>
      </c>
      <c r="E312" s="94">
        <f t="shared" si="260"/>
        <v>1.74E-4</v>
      </c>
      <c r="F312" s="94">
        <f t="shared" si="240"/>
        <v>0.99889399999999995</v>
      </c>
      <c r="G312" s="94" t="e">
        <f t="shared" ca="1" si="261"/>
        <v>#N/A</v>
      </c>
      <c r="H312" s="94" t="e">
        <f t="shared" ca="1" si="262"/>
        <v>#N/A</v>
      </c>
      <c r="I312" s="161" t="e">
        <f t="shared" ca="1" si="258"/>
        <v>#N/A</v>
      </c>
      <c r="J312" s="156" t="e">
        <f t="shared" ca="1" si="256"/>
        <v>#N/A</v>
      </c>
      <c r="K312" s="160" t="e">
        <f t="shared" ca="1" si="241"/>
        <v>#N/A</v>
      </c>
      <c r="L312" s="101" t="e">
        <f t="shared" ca="1" si="263"/>
        <v>#N/A</v>
      </c>
      <c r="M312" s="101" t="e">
        <f t="shared" ca="1" si="264"/>
        <v>#N/A</v>
      </c>
      <c r="N312" s="101" t="e">
        <f t="shared" ca="1" si="242"/>
        <v>#N/A</v>
      </c>
      <c r="O312" s="285">
        <f t="shared" si="265"/>
        <v>1.7420134051864008E-4</v>
      </c>
      <c r="P312" s="99">
        <f t="shared" si="266"/>
        <v>1.74E-4</v>
      </c>
      <c r="Q312" s="99">
        <f t="shared" si="245"/>
        <v>0.99889399999999995</v>
      </c>
      <c r="R312" s="99" t="e">
        <f t="shared" ca="1" si="267"/>
        <v>#N/A</v>
      </c>
      <c r="S312" s="161" t="e">
        <f t="shared" ca="1" si="246"/>
        <v>#N/A</v>
      </c>
      <c r="T312" s="286" t="e">
        <f t="shared" ca="1" si="268"/>
        <v>#N/A</v>
      </c>
      <c r="U312" s="285">
        <f t="shared" si="269"/>
        <v>1.9360307230400938E-6</v>
      </c>
      <c r="V312" s="99">
        <f t="shared" si="288"/>
        <v>1.9999999999999999E-6</v>
      </c>
      <c r="W312" s="99">
        <f t="shared" si="247"/>
        <v>0.9999929999999998</v>
      </c>
      <c r="X312" s="99" t="e">
        <f t="shared" ca="1" si="270"/>
        <v>#N/A</v>
      </c>
      <c r="Y312" s="161" t="e">
        <f t="shared" ca="1" si="257"/>
        <v>#N/A</v>
      </c>
      <c r="Z312" s="286" t="e">
        <f t="shared" ca="1" si="271"/>
        <v>#N/A</v>
      </c>
      <c r="AA312" s="285">
        <f t="shared" si="272"/>
        <v>2.550079371800725E-3</v>
      </c>
      <c r="AB312" s="99">
        <f t="shared" si="273"/>
        <v>2.5850000000000001E-3</v>
      </c>
      <c r="AC312" s="99">
        <f t="shared" si="248"/>
        <v>0.97471099999999977</v>
      </c>
      <c r="AD312" s="99" t="e">
        <f t="shared" ca="1" si="274"/>
        <v>#N/A</v>
      </c>
      <c r="AE312" s="161" t="e">
        <f t="shared" ca="1" si="249"/>
        <v>#N/A</v>
      </c>
      <c r="AF312" s="286" t="e">
        <f t="shared" ca="1" si="275"/>
        <v>#N/A</v>
      </c>
      <c r="AG312" s="285">
        <f t="shared" si="276"/>
        <v>8.5476391724705753E-4</v>
      </c>
      <c r="AH312" s="99">
        <f t="shared" si="277"/>
        <v>8.5599999999999999E-4</v>
      </c>
      <c r="AI312" s="99">
        <f t="shared" si="250"/>
        <v>0.99341999999999997</v>
      </c>
      <c r="AJ312" s="99" t="e">
        <f t="shared" ca="1" si="278"/>
        <v>#N/A</v>
      </c>
      <c r="AK312" s="161" t="e">
        <f t="shared" ca="1" si="251"/>
        <v>#N/A</v>
      </c>
      <c r="AL312" s="286" t="e">
        <f t="shared" ca="1" si="279"/>
        <v>#N/A</v>
      </c>
      <c r="AM312" s="285">
        <f t="shared" si="280"/>
        <v>9.1272109379272881E-4</v>
      </c>
      <c r="AN312" s="99">
        <f t="shared" si="281"/>
        <v>9.1399999999999999E-4</v>
      </c>
      <c r="AO312" s="99">
        <f t="shared" si="252"/>
        <v>0.99319900000000005</v>
      </c>
      <c r="AP312" s="99" t="e">
        <f t="shared" ca="1" si="282"/>
        <v>#N/A</v>
      </c>
      <c r="AQ312" s="161" t="e">
        <f t="shared" ca="1" si="253"/>
        <v>#N/A</v>
      </c>
      <c r="AR312" s="286" t="e">
        <f t="shared" ca="1" si="283"/>
        <v>#N/A</v>
      </c>
      <c r="AS312" s="285">
        <f t="shared" si="284"/>
        <v>3.2930360342304583E-4</v>
      </c>
      <c r="AT312" s="99">
        <f t="shared" si="285"/>
        <v>3.2899999999999997E-4</v>
      </c>
      <c r="AU312" s="99">
        <f t="shared" si="254"/>
        <v>0.99771200000000004</v>
      </c>
      <c r="AV312" s="99" t="e">
        <f t="shared" ca="1" si="286"/>
        <v>#N/A</v>
      </c>
      <c r="AW312" s="161" t="e">
        <f t="shared" ca="1" si="255"/>
        <v>#N/A</v>
      </c>
      <c r="AX312" s="286" t="e">
        <f t="shared" ca="1" si="287"/>
        <v>#N/A</v>
      </c>
    </row>
    <row r="313" spans="2:50" x14ac:dyDescent="0.25">
      <c r="B313" s="104">
        <f t="shared" si="244"/>
        <v>42</v>
      </c>
      <c r="C313" s="94">
        <v>43</v>
      </c>
      <c r="D313" s="94">
        <f t="shared" si="259"/>
        <v>1.5127214455930337E-4</v>
      </c>
      <c r="E313" s="94">
        <f t="shared" si="260"/>
        <v>1.5100000000000001E-4</v>
      </c>
      <c r="F313" s="94">
        <f t="shared" si="240"/>
        <v>0.99904499999999996</v>
      </c>
      <c r="G313" s="94" t="e">
        <f t="shared" ca="1" si="261"/>
        <v>#N/A</v>
      </c>
      <c r="H313" s="94" t="e">
        <f t="shared" ca="1" si="262"/>
        <v>#N/A</v>
      </c>
      <c r="I313" s="161" t="e">
        <f t="shared" ca="1" si="258"/>
        <v>#N/A</v>
      </c>
      <c r="J313" s="156" t="e">
        <f t="shared" ca="1" si="256"/>
        <v>#N/A</v>
      </c>
      <c r="K313" s="160" t="e">
        <f t="shared" ca="1" si="241"/>
        <v>#N/A</v>
      </c>
      <c r="L313" s="101" t="e">
        <f t="shared" ca="1" si="263"/>
        <v>#N/A</v>
      </c>
      <c r="M313" s="101" t="e">
        <f t="shared" ca="1" si="264"/>
        <v>#N/A</v>
      </c>
      <c r="N313" s="101" t="e">
        <f t="shared" ca="1" si="242"/>
        <v>#N/A</v>
      </c>
      <c r="O313" s="285">
        <f t="shared" si="265"/>
        <v>1.5127214455930337E-4</v>
      </c>
      <c r="P313" s="99">
        <f t="shared" si="266"/>
        <v>1.5100000000000001E-4</v>
      </c>
      <c r="Q313" s="99">
        <f t="shared" si="245"/>
        <v>0.99904499999999996</v>
      </c>
      <c r="R313" s="99" t="e">
        <f t="shared" ca="1" si="267"/>
        <v>#N/A</v>
      </c>
      <c r="S313" s="161" t="e">
        <f t="shared" ca="1" si="246"/>
        <v>#N/A</v>
      </c>
      <c r="T313" s="286" t="e">
        <f t="shared" ca="1" si="268"/>
        <v>#N/A</v>
      </c>
      <c r="U313" s="285">
        <f t="shared" si="269"/>
        <v>1.5402144465500998E-6</v>
      </c>
      <c r="V313" s="99">
        <f t="shared" si="288"/>
        <v>1.9999999999999999E-6</v>
      </c>
      <c r="W313" s="99">
        <f t="shared" si="247"/>
        <v>0.99999499999999975</v>
      </c>
      <c r="X313" s="99" t="e">
        <f t="shared" ca="1" si="270"/>
        <v>#N/A</v>
      </c>
      <c r="Y313" s="161" t="e">
        <f t="shared" ca="1" si="257"/>
        <v>#N/A</v>
      </c>
      <c r="Z313" s="286" t="e">
        <f t="shared" ca="1" si="271"/>
        <v>#N/A</v>
      </c>
      <c r="AA313" s="285">
        <f t="shared" si="272"/>
        <v>2.3649220751957739E-3</v>
      </c>
      <c r="AB313" s="99">
        <f t="shared" si="273"/>
        <v>2.3969999999999998E-3</v>
      </c>
      <c r="AC313" s="99">
        <f t="shared" si="248"/>
        <v>0.97710799999999975</v>
      </c>
      <c r="AD313" s="99" t="e">
        <f t="shared" ca="1" si="274"/>
        <v>#N/A</v>
      </c>
      <c r="AE313" s="161" t="e">
        <f t="shared" ca="1" si="249"/>
        <v>#N/A</v>
      </c>
      <c r="AF313" s="286" t="e">
        <f t="shared" ca="1" si="275"/>
        <v>#N/A</v>
      </c>
      <c r="AG313" s="285">
        <f t="shared" si="276"/>
        <v>7.6562742288593174E-4</v>
      </c>
      <c r="AH313" s="99">
        <f t="shared" si="277"/>
        <v>7.67E-4</v>
      </c>
      <c r="AI313" s="99">
        <f t="shared" si="250"/>
        <v>0.99418699999999993</v>
      </c>
      <c r="AJ313" s="99" t="e">
        <f t="shared" ca="1" si="278"/>
        <v>#N/A</v>
      </c>
      <c r="AK313" s="161" t="e">
        <f t="shared" ca="1" si="251"/>
        <v>#N/A</v>
      </c>
      <c r="AL313" s="286" t="e">
        <f t="shared" ca="1" si="279"/>
        <v>#N/A</v>
      </c>
      <c r="AM313" s="285">
        <f t="shared" si="280"/>
        <v>8.1378107968769348E-4</v>
      </c>
      <c r="AN313" s="99">
        <f t="shared" si="281"/>
        <v>8.1499999999999997E-4</v>
      </c>
      <c r="AO313" s="99">
        <f t="shared" si="252"/>
        <v>0.99401400000000006</v>
      </c>
      <c r="AP313" s="99" t="e">
        <f t="shared" ca="1" si="282"/>
        <v>#N/A</v>
      </c>
      <c r="AQ313" s="161" t="e">
        <f t="shared" ca="1" si="253"/>
        <v>#N/A</v>
      </c>
      <c r="AR313" s="286" t="e">
        <f t="shared" ca="1" si="283"/>
        <v>#N/A</v>
      </c>
      <c r="AS313" s="285">
        <f t="shared" si="284"/>
        <v>2.9020153923931853E-4</v>
      </c>
      <c r="AT313" s="99">
        <f t="shared" si="285"/>
        <v>2.9E-4</v>
      </c>
      <c r="AU313" s="99">
        <f t="shared" si="254"/>
        <v>0.99800200000000006</v>
      </c>
      <c r="AV313" s="99" t="e">
        <f t="shared" ca="1" si="286"/>
        <v>#N/A</v>
      </c>
      <c r="AW313" s="161" t="e">
        <f t="shared" ca="1" si="255"/>
        <v>#N/A</v>
      </c>
      <c r="AX313" s="286" t="e">
        <f t="shared" ca="1" si="287"/>
        <v>#N/A</v>
      </c>
    </row>
    <row r="314" spans="2:50" x14ac:dyDescent="0.25">
      <c r="B314" s="104">
        <f t="shared" si="244"/>
        <v>43</v>
      </c>
      <c r="C314" s="94">
        <v>44</v>
      </c>
      <c r="D314" s="94">
        <f t="shared" si="259"/>
        <v>1.31595086508398E-4</v>
      </c>
      <c r="E314" s="94">
        <f t="shared" si="260"/>
        <v>1.3200000000000001E-4</v>
      </c>
      <c r="F314" s="94">
        <f t="shared" si="240"/>
        <v>0.99917699999999998</v>
      </c>
      <c r="G314" s="94" t="e">
        <f t="shared" ca="1" si="261"/>
        <v>#N/A</v>
      </c>
      <c r="H314" s="94" t="e">
        <f t="shared" ca="1" si="262"/>
        <v>#N/A</v>
      </c>
      <c r="I314" s="161" t="e">
        <f t="shared" ca="1" si="258"/>
        <v>#N/A</v>
      </c>
      <c r="J314" s="156" t="e">
        <f t="shared" ca="1" si="256"/>
        <v>#N/A</v>
      </c>
      <c r="K314" s="160" t="e">
        <f t="shared" ca="1" si="241"/>
        <v>#N/A</v>
      </c>
      <c r="L314" s="101" t="e">
        <f t="shared" ca="1" si="263"/>
        <v>#N/A</v>
      </c>
      <c r="M314" s="101" t="e">
        <f t="shared" ca="1" si="264"/>
        <v>#N/A</v>
      </c>
      <c r="N314" s="101" t="e">
        <f t="shared" ca="1" si="242"/>
        <v>#N/A</v>
      </c>
      <c r="O314" s="285">
        <f t="shared" si="265"/>
        <v>1.31595086508398E-4</v>
      </c>
      <c r="P314" s="99">
        <f t="shared" si="266"/>
        <v>1.3200000000000001E-4</v>
      </c>
      <c r="Q314" s="99">
        <f t="shared" si="245"/>
        <v>0.99917699999999998</v>
      </c>
      <c r="R314" s="99" t="e">
        <f t="shared" ca="1" si="267"/>
        <v>#N/A</v>
      </c>
      <c r="S314" s="161" t="e">
        <f t="shared" ca="1" si="246"/>
        <v>#N/A</v>
      </c>
      <c r="T314" s="286" t="e">
        <f t="shared" ca="1" si="268"/>
        <v>#N/A</v>
      </c>
      <c r="U314" s="285">
        <f t="shared" si="269"/>
        <v>1.2290933208200089E-6</v>
      </c>
      <c r="V314" s="99">
        <f t="shared" si="288"/>
        <v>9.9999999999999995E-7</v>
      </c>
      <c r="W314" s="99">
        <f t="shared" si="247"/>
        <v>0.99999599999999977</v>
      </c>
      <c r="X314" s="99" t="e">
        <f t="shared" ca="1" si="270"/>
        <v>#N/A</v>
      </c>
      <c r="Y314" s="161" t="e">
        <f t="shared" ca="1" si="257"/>
        <v>#N/A</v>
      </c>
      <c r="Z314" s="286" t="e">
        <f t="shared" ca="1" si="271"/>
        <v>#N/A</v>
      </c>
      <c r="AA314" s="285">
        <f t="shared" si="272"/>
        <v>2.1951871696104675E-3</v>
      </c>
      <c r="AB314" s="99">
        <f t="shared" si="273"/>
        <v>2.225E-3</v>
      </c>
      <c r="AC314" s="99">
        <f t="shared" si="248"/>
        <v>0.97933299999999979</v>
      </c>
      <c r="AD314" s="99" t="e">
        <f t="shared" ca="1" si="274"/>
        <v>#N/A</v>
      </c>
      <c r="AE314" s="161" t="e">
        <f t="shared" ca="1" si="249"/>
        <v>#N/A</v>
      </c>
      <c r="AF314" s="286" t="e">
        <f t="shared" ca="1" si="275"/>
        <v>#N/A</v>
      </c>
      <c r="AG314" s="285">
        <f t="shared" si="276"/>
        <v>6.8666054111195989E-4</v>
      </c>
      <c r="AH314" s="99">
        <f t="shared" si="277"/>
        <v>6.8800000000000003E-4</v>
      </c>
      <c r="AI314" s="99">
        <f t="shared" si="250"/>
        <v>0.99487499999999995</v>
      </c>
      <c r="AJ314" s="99" t="e">
        <f t="shared" ca="1" si="278"/>
        <v>#N/A</v>
      </c>
      <c r="AK314" s="161" t="e">
        <f t="shared" ca="1" si="251"/>
        <v>#N/A</v>
      </c>
      <c r="AL314" s="286" t="e">
        <f t="shared" ca="1" si="279"/>
        <v>#N/A</v>
      </c>
      <c r="AM314" s="285">
        <f t="shared" si="280"/>
        <v>7.2646493898862136E-4</v>
      </c>
      <c r="AN314" s="99">
        <f t="shared" si="281"/>
        <v>7.2800000000000002E-4</v>
      </c>
      <c r="AO314" s="99">
        <f t="shared" si="252"/>
        <v>0.99474200000000002</v>
      </c>
      <c r="AP314" s="99" t="e">
        <f t="shared" ca="1" si="282"/>
        <v>#N/A</v>
      </c>
      <c r="AQ314" s="161" t="e">
        <f t="shared" ca="1" si="253"/>
        <v>#N/A</v>
      </c>
      <c r="AR314" s="286" t="e">
        <f t="shared" ca="1" si="283"/>
        <v>#N/A</v>
      </c>
      <c r="AS314" s="285">
        <f t="shared" si="284"/>
        <v>2.5614796977086672E-4</v>
      </c>
      <c r="AT314" s="99">
        <f t="shared" si="285"/>
        <v>2.5599999999999999E-4</v>
      </c>
      <c r="AU314" s="99">
        <f t="shared" si="254"/>
        <v>0.99825800000000009</v>
      </c>
      <c r="AV314" s="99" t="e">
        <f t="shared" ca="1" si="286"/>
        <v>#N/A</v>
      </c>
      <c r="AW314" s="161" t="e">
        <f t="shared" ca="1" si="255"/>
        <v>#N/A</v>
      </c>
      <c r="AX314" s="286" t="e">
        <f t="shared" ca="1" si="287"/>
        <v>#N/A</v>
      </c>
    </row>
    <row r="315" spans="2:50" x14ac:dyDescent="0.25">
      <c r="B315" s="104">
        <f t="shared" si="244"/>
        <v>44</v>
      </c>
      <c r="C315" s="94">
        <v>45</v>
      </c>
      <c r="D315" s="94">
        <f t="shared" si="259"/>
        <v>1.1467612184442529E-4</v>
      </c>
      <c r="E315" s="94">
        <f t="shared" si="260"/>
        <v>1.15E-4</v>
      </c>
      <c r="F315" s="94">
        <f t="shared" si="240"/>
        <v>0.99929199999999996</v>
      </c>
      <c r="G315" s="94" t="e">
        <f t="shared" ca="1" si="261"/>
        <v>#N/A</v>
      </c>
      <c r="H315" s="94" t="e">
        <f t="shared" ca="1" si="262"/>
        <v>#N/A</v>
      </c>
      <c r="I315" s="161" t="e">
        <f t="shared" ca="1" si="258"/>
        <v>#N/A</v>
      </c>
      <c r="J315" s="156" t="e">
        <f t="shared" ca="1" si="256"/>
        <v>#N/A</v>
      </c>
      <c r="K315" s="160" t="e">
        <f t="shared" ca="1" si="241"/>
        <v>#N/A</v>
      </c>
      <c r="L315" s="101" t="e">
        <f t="shared" ca="1" si="263"/>
        <v>#N/A</v>
      </c>
      <c r="M315" s="101" t="e">
        <f t="shared" ca="1" si="264"/>
        <v>#N/A</v>
      </c>
      <c r="N315" s="101" t="e">
        <f t="shared" ca="1" si="242"/>
        <v>#N/A</v>
      </c>
      <c r="O315" s="285">
        <f t="shared" si="265"/>
        <v>1.1467612184442529E-4</v>
      </c>
      <c r="P315" s="99">
        <f t="shared" si="266"/>
        <v>1.15E-4</v>
      </c>
      <c r="Q315" s="99">
        <f t="shared" si="245"/>
        <v>0.99929199999999996</v>
      </c>
      <c r="R315" s="99" t="e">
        <f t="shared" ca="1" si="267"/>
        <v>#N/A</v>
      </c>
      <c r="S315" s="161" t="e">
        <f t="shared" ca="1" si="246"/>
        <v>#N/A</v>
      </c>
      <c r="T315" s="286" t="e">
        <f t="shared" ca="1" si="268"/>
        <v>#N/A</v>
      </c>
      <c r="U315" s="285">
        <f t="shared" si="269"/>
        <v>9.8374907256667936E-7</v>
      </c>
      <c r="V315" s="99">
        <f t="shared" si="288"/>
        <v>9.9999999999999995E-7</v>
      </c>
      <c r="W315" s="99">
        <f t="shared" si="247"/>
        <v>0.9999969999999998</v>
      </c>
      <c r="X315" s="99" t="e">
        <f t="shared" ca="1" si="270"/>
        <v>#N/A</v>
      </c>
      <c r="Y315" s="161" t="e">
        <f t="shared" ca="1" si="257"/>
        <v>#N/A</v>
      </c>
      <c r="Z315" s="286" t="e">
        <f t="shared" ca="1" si="271"/>
        <v>#N/A</v>
      </c>
      <c r="AA315" s="285">
        <f t="shared" si="272"/>
        <v>2.0394275490250805E-3</v>
      </c>
      <c r="AB315" s="99">
        <f t="shared" si="273"/>
        <v>2.0669999999999998E-3</v>
      </c>
      <c r="AC315" s="99">
        <f t="shared" si="248"/>
        <v>0.98139999999999983</v>
      </c>
      <c r="AD315" s="99" t="e">
        <f t="shared" ca="1" si="274"/>
        <v>#N/A</v>
      </c>
      <c r="AE315" s="161" t="e">
        <f t="shared" ca="1" si="249"/>
        <v>#N/A</v>
      </c>
      <c r="AF315" s="286" t="e">
        <f t="shared" ca="1" si="275"/>
        <v>#N/A</v>
      </c>
      <c r="AG315" s="285">
        <f t="shared" si="276"/>
        <v>6.1660534144913079E-4</v>
      </c>
      <c r="AH315" s="99">
        <f t="shared" si="277"/>
        <v>6.1799999999999995E-4</v>
      </c>
      <c r="AI315" s="99">
        <f t="shared" si="250"/>
        <v>0.99549299999999996</v>
      </c>
      <c r="AJ315" s="99" t="e">
        <f t="shared" ca="1" si="278"/>
        <v>#N/A</v>
      </c>
      <c r="AK315" s="161" t="e">
        <f t="shared" ca="1" si="251"/>
        <v>#N/A</v>
      </c>
      <c r="AL315" s="286" t="e">
        <f t="shared" ca="1" si="279"/>
        <v>#N/A</v>
      </c>
      <c r="AM315" s="285">
        <f t="shared" si="280"/>
        <v>6.4930485244207815E-4</v>
      </c>
      <c r="AN315" s="99">
        <f t="shared" si="281"/>
        <v>6.4999999999999997E-4</v>
      </c>
      <c r="AO315" s="99">
        <f t="shared" si="252"/>
        <v>0.99539200000000005</v>
      </c>
      <c r="AP315" s="99" t="e">
        <f t="shared" ca="1" si="282"/>
        <v>#N/A</v>
      </c>
      <c r="AQ315" s="161" t="e">
        <f t="shared" ca="1" si="253"/>
        <v>#N/A</v>
      </c>
      <c r="AR315" s="286" t="e">
        <f t="shared" ca="1" si="283"/>
        <v>#N/A</v>
      </c>
      <c r="AS315" s="285">
        <f t="shared" si="284"/>
        <v>2.2643936915525743E-4</v>
      </c>
      <c r="AT315" s="99">
        <f t="shared" si="285"/>
        <v>2.2699999999999999E-4</v>
      </c>
      <c r="AU315" s="99">
        <f t="shared" si="254"/>
        <v>0.99848500000000007</v>
      </c>
      <c r="AV315" s="99" t="e">
        <f t="shared" ca="1" si="286"/>
        <v>#N/A</v>
      </c>
      <c r="AW315" s="161" t="e">
        <f t="shared" ca="1" si="255"/>
        <v>#N/A</v>
      </c>
      <c r="AX315" s="286" t="e">
        <f t="shared" ca="1" si="287"/>
        <v>#N/A</v>
      </c>
    </row>
    <row r="316" spans="2:50" x14ac:dyDescent="0.25">
      <c r="B316" s="104">
        <f t="shared" si="244"/>
        <v>45</v>
      </c>
      <c r="C316" s="94">
        <v>46</v>
      </c>
      <c r="D316" s="94">
        <f t="shared" si="259"/>
        <v>1.001011471760572E-4</v>
      </c>
      <c r="E316" s="94">
        <f t="shared" si="260"/>
        <v>1E-4</v>
      </c>
      <c r="F316" s="94">
        <f t="shared" si="240"/>
        <v>0.99939199999999995</v>
      </c>
      <c r="G316" s="94" t="e">
        <f t="shared" ca="1" si="261"/>
        <v>#N/A</v>
      </c>
      <c r="H316" s="94" t="e">
        <f t="shared" ca="1" si="262"/>
        <v>#N/A</v>
      </c>
      <c r="I316" s="161" t="e">
        <f t="shared" ca="1" si="258"/>
        <v>#N/A</v>
      </c>
      <c r="J316" s="156" t="e">
        <f t="shared" ca="1" si="256"/>
        <v>#N/A</v>
      </c>
      <c r="K316" s="160" t="e">
        <f t="shared" ca="1" si="241"/>
        <v>#N/A</v>
      </c>
      <c r="L316" s="101" t="e">
        <f t="shared" ca="1" si="263"/>
        <v>#N/A</v>
      </c>
      <c r="M316" s="101" t="e">
        <f t="shared" ca="1" si="264"/>
        <v>#N/A</v>
      </c>
      <c r="N316" s="101" t="e">
        <f t="shared" ca="1" si="242"/>
        <v>#N/A</v>
      </c>
      <c r="O316" s="285">
        <f t="shared" si="265"/>
        <v>1.001011471760572E-4</v>
      </c>
      <c r="P316" s="99">
        <f t="shared" si="266"/>
        <v>1E-4</v>
      </c>
      <c r="Q316" s="99">
        <f t="shared" si="245"/>
        <v>0.99939199999999995</v>
      </c>
      <c r="R316" s="99" t="e">
        <f t="shared" ca="1" si="267"/>
        <v>#N/A</v>
      </c>
      <c r="S316" s="161" t="e">
        <f t="shared" ca="1" si="246"/>
        <v>#N/A</v>
      </c>
      <c r="T316" s="286" t="e">
        <f t="shared" ca="1" si="268"/>
        <v>#N/A</v>
      </c>
      <c r="U316" s="285">
        <f t="shared" si="269"/>
        <v>7.8966404868802396E-7</v>
      </c>
      <c r="V316" s="99">
        <f t="shared" si="288"/>
        <v>9.9999999999999995E-7</v>
      </c>
      <c r="W316" s="99">
        <f t="shared" si="247"/>
        <v>0.99999799999999983</v>
      </c>
      <c r="X316" s="99" t="e">
        <f t="shared" ca="1" si="270"/>
        <v>#N/A</v>
      </c>
      <c r="Y316" s="161" t="e">
        <f t="shared" ca="1" si="257"/>
        <v>#N/A</v>
      </c>
      <c r="Z316" s="286" t="e">
        <f t="shared" ca="1" si="271"/>
        <v>#N/A</v>
      </c>
      <c r="AA316" s="285">
        <f t="shared" si="272"/>
        <v>1.8963466006454042E-3</v>
      </c>
      <c r="AB316" s="99">
        <f t="shared" si="273"/>
        <v>1.9220000000000001E-3</v>
      </c>
      <c r="AC316" s="99">
        <f t="shared" si="248"/>
        <v>0.98332199999999981</v>
      </c>
      <c r="AD316" s="99" t="e">
        <f t="shared" ca="1" si="274"/>
        <v>#N/A</v>
      </c>
      <c r="AE316" s="161" t="e">
        <f t="shared" ca="1" si="249"/>
        <v>#N/A</v>
      </c>
      <c r="AF316" s="286" t="e">
        <f t="shared" ca="1" si="275"/>
        <v>#N/A</v>
      </c>
      <c r="AG316" s="285">
        <f t="shared" si="276"/>
        <v>5.5437116689914241E-4</v>
      </c>
      <c r="AH316" s="99">
        <f t="shared" si="277"/>
        <v>5.5500000000000005E-4</v>
      </c>
      <c r="AI316" s="99">
        <f t="shared" si="250"/>
        <v>0.99604799999999993</v>
      </c>
      <c r="AJ316" s="99" t="e">
        <f t="shared" ca="1" si="278"/>
        <v>#N/A</v>
      </c>
      <c r="AK316" s="161" t="e">
        <f t="shared" ca="1" si="251"/>
        <v>#N/A</v>
      </c>
      <c r="AL316" s="286" t="e">
        <f t="shared" ca="1" si="279"/>
        <v>#N/A</v>
      </c>
      <c r="AM316" s="285">
        <f t="shared" si="280"/>
        <v>5.8103062065188943E-4</v>
      </c>
      <c r="AN316" s="99">
        <f t="shared" si="281"/>
        <v>5.8200000000000005E-4</v>
      </c>
      <c r="AO316" s="99">
        <f t="shared" si="252"/>
        <v>0.99597400000000003</v>
      </c>
      <c r="AP316" s="99" t="e">
        <f t="shared" ca="1" si="282"/>
        <v>#N/A</v>
      </c>
      <c r="AQ316" s="161" t="e">
        <f t="shared" ca="1" si="253"/>
        <v>#N/A</v>
      </c>
      <c r="AR316" s="286" t="e">
        <f t="shared" ca="1" si="283"/>
        <v>#N/A</v>
      </c>
      <c r="AS316" s="285">
        <f t="shared" si="284"/>
        <v>2.0047731805942598E-4</v>
      </c>
      <c r="AT316" s="99">
        <f t="shared" si="285"/>
        <v>2.0100000000000001E-4</v>
      </c>
      <c r="AU316" s="99">
        <f t="shared" si="254"/>
        <v>0.99868600000000007</v>
      </c>
      <c r="AV316" s="99" t="e">
        <f t="shared" ca="1" si="286"/>
        <v>#N/A</v>
      </c>
      <c r="AW316" s="161" t="e">
        <f t="shared" ca="1" si="255"/>
        <v>#N/A</v>
      </c>
      <c r="AX316" s="286" t="e">
        <f t="shared" ca="1" si="287"/>
        <v>#N/A</v>
      </c>
    </row>
    <row r="317" spans="2:50" x14ac:dyDescent="0.25">
      <c r="B317" s="104">
        <f t="shared" si="244"/>
        <v>46</v>
      </c>
      <c r="C317" s="94">
        <v>47</v>
      </c>
      <c r="D317" s="94">
        <f t="shared" si="259"/>
        <v>8.7522292849428077E-5</v>
      </c>
      <c r="E317" s="94">
        <f t="shared" si="260"/>
        <v>8.7999999999999998E-5</v>
      </c>
      <c r="F317" s="94">
        <f t="shared" si="240"/>
        <v>0.99947999999999992</v>
      </c>
      <c r="G317" s="94" t="e">
        <f t="shared" ca="1" si="261"/>
        <v>#N/A</v>
      </c>
      <c r="H317" s="94" t="e">
        <f t="shared" ca="1" si="262"/>
        <v>#N/A</v>
      </c>
      <c r="I317" s="161" t="e">
        <f t="shared" ca="1" si="258"/>
        <v>#N/A</v>
      </c>
      <c r="J317" s="156" t="e">
        <f t="shared" ca="1" si="256"/>
        <v>#N/A</v>
      </c>
      <c r="K317" s="160" t="e">
        <f t="shared" ca="1" si="241"/>
        <v>#N/A</v>
      </c>
      <c r="L317" s="101" t="e">
        <f t="shared" ca="1" si="263"/>
        <v>#N/A</v>
      </c>
      <c r="M317" s="101" t="e">
        <f t="shared" ca="1" si="264"/>
        <v>#N/A</v>
      </c>
      <c r="N317" s="101" t="e">
        <f t="shared" ca="1" si="242"/>
        <v>#N/A</v>
      </c>
      <c r="O317" s="285">
        <f t="shared" si="265"/>
        <v>8.7522292849428077E-5</v>
      </c>
      <c r="P317" s="99">
        <f t="shared" si="266"/>
        <v>8.7999999999999998E-5</v>
      </c>
      <c r="Q317" s="99">
        <f t="shared" si="245"/>
        <v>0.99947999999999992</v>
      </c>
      <c r="R317" s="99" t="e">
        <f t="shared" ca="1" si="267"/>
        <v>#N/A</v>
      </c>
      <c r="S317" s="161" t="e">
        <f t="shared" ca="1" si="246"/>
        <v>#N/A</v>
      </c>
      <c r="T317" s="286" t="e">
        <f t="shared" ca="1" si="268"/>
        <v>#N/A</v>
      </c>
      <c r="U317" s="285">
        <f t="shared" si="269"/>
        <v>6.356576185585655E-7</v>
      </c>
      <c r="V317" s="99">
        <f t="shared" si="288"/>
        <v>9.9999999999999995E-7</v>
      </c>
      <c r="W317" s="99">
        <f t="shared" si="247"/>
        <v>0.99999899999999986</v>
      </c>
      <c r="X317" s="99" t="e">
        <f t="shared" ca="1" si="270"/>
        <v>#N/A</v>
      </c>
      <c r="Y317" s="161" t="e">
        <f t="shared" ca="1" si="257"/>
        <v>#N/A</v>
      </c>
      <c r="Z317" s="286" t="e">
        <f t="shared" ca="1" si="271"/>
        <v>#N/A</v>
      </c>
      <c r="AA317" s="285">
        <f t="shared" si="272"/>
        <v>1.7647811197268851E-3</v>
      </c>
      <c r="AB317" s="99">
        <f t="shared" si="273"/>
        <v>1.789E-3</v>
      </c>
      <c r="AC317" s="99">
        <f t="shared" si="248"/>
        <v>0.98511099999999985</v>
      </c>
      <c r="AD317" s="99" t="e">
        <f t="shared" ca="1" si="274"/>
        <v>#N/A</v>
      </c>
      <c r="AE317" s="161" t="e">
        <f t="shared" ca="1" si="249"/>
        <v>#N/A</v>
      </c>
      <c r="AF317" s="286" t="e">
        <f t="shared" ca="1" si="275"/>
        <v>#N/A</v>
      </c>
      <c r="AG317" s="285">
        <f t="shared" si="276"/>
        <v>4.9901091575900816E-4</v>
      </c>
      <c r="AH317" s="99">
        <f t="shared" si="277"/>
        <v>5.0000000000000001E-4</v>
      </c>
      <c r="AI317" s="99">
        <f t="shared" si="250"/>
        <v>0.99654799999999988</v>
      </c>
      <c r="AJ317" s="99" t="e">
        <f t="shared" ca="1" si="278"/>
        <v>#N/A</v>
      </c>
      <c r="AK317" s="161" t="e">
        <f t="shared" ca="1" si="251"/>
        <v>#N/A</v>
      </c>
      <c r="AL317" s="286" t="e">
        <f t="shared" ca="1" si="279"/>
        <v>#N/A</v>
      </c>
      <c r="AM317" s="285">
        <f t="shared" si="280"/>
        <v>5.2054152665037458E-4</v>
      </c>
      <c r="AN317" s="99">
        <f t="shared" si="281"/>
        <v>5.2099999999999998E-4</v>
      </c>
      <c r="AO317" s="99">
        <f t="shared" si="252"/>
        <v>0.99649500000000002</v>
      </c>
      <c r="AP317" s="99" t="e">
        <f t="shared" ca="1" si="282"/>
        <v>#N/A</v>
      </c>
      <c r="AQ317" s="161" t="e">
        <f t="shared" ca="1" si="253"/>
        <v>#N/A</v>
      </c>
      <c r="AR317" s="286" t="e">
        <f t="shared" ca="1" si="283"/>
        <v>#N/A</v>
      </c>
      <c r="AS317" s="285">
        <f t="shared" si="284"/>
        <v>1.7775177288781446E-4</v>
      </c>
      <c r="AT317" s="99">
        <f t="shared" si="285"/>
        <v>1.7799999999999999E-4</v>
      </c>
      <c r="AU317" s="99">
        <f t="shared" si="254"/>
        <v>0.99886400000000009</v>
      </c>
      <c r="AV317" s="99" t="e">
        <f t="shared" ca="1" si="286"/>
        <v>#N/A</v>
      </c>
      <c r="AW317" s="161" t="e">
        <f t="shared" ca="1" si="255"/>
        <v>#N/A</v>
      </c>
      <c r="AX317" s="286" t="e">
        <f t="shared" ca="1" si="287"/>
        <v>#N/A</v>
      </c>
    </row>
    <row r="318" spans="2:50" x14ac:dyDescent="0.25">
      <c r="B318" s="104">
        <f t="shared" si="244"/>
        <v>47</v>
      </c>
      <c r="C318" s="94">
        <v>48</v>
      </c>
      <c r="D318" s="94">
        <f t="shared" si="259"/>
        <v>7.6646694369294482E-5</v>
      </c>
      <c r="E318" s="94">
        <f t="shared" si="260"/>
        <v>7.7000000000000001E-5</v>
      </c>
      <c r="F318" s="94">
        <f t="shared" si="240"/>
        <v>0.99955699999999992</v>
      </c>
      <c r="G318" s="94" t="e">
        <f t="shared" ca="1" si="261"/>
        <v>#N/A</v>
      </c>
      <c r="H318" s="94" t="e">
        <f t="shared" ca="1" si="262"/>
        <v>#N/A</v>
      </c>
      <c r="I318" s="161" t="e">
        <f t="shared" ca="1" si="258"/>
        <v>#N/A</v>
      </c>
      <c r="J318" s="156" t="e">
        <f t="shared" ca="1" si="256"/>
        <v>#N/A</v>
      </c>
      <c r="K318" s="160" t="e">
        <f t="shared" ca="1" si="241"/>
        <v>#N/A</v>
      </c>
      <c r="L318" s="101" t="e">
        <f t="shared" ca="1" si="263"/>
        <v>#N/A</v>
      </c>
      <c r="M318" s="101" t="e">
        <f t="shared" ca="1" si="264"/>
        <v>#N/A</v>
      </c>
      <c r="N318" s="101" t="e">
        <f t="shared" ca="1" si="242"/>
        <v>#N/A</v>
      </c>
      <c r="O318" s="285">
        <f t="shared" si="265"/>
        <v>7.6646694369294482E-5</v>
      </c>
      <c r="P318" s="99">
        <f t="shared" si="266"/>
        <v>7.7000000000000001E-5</v>
      </c>
      <c r="Q318" s="99">
        <f t="shared" si="245"/>
        <v>0.99955699999999992</v>
      </c>
      <c r="R318" s="99" t="e">
        <f t="shared" ca="1" si="267"/>
        <v>#N/A</v>
      </c>
      <c r="S318" s="161" t="e">
        <f t="shared" ca="1" si="246"/>
        <v>#N/A</v>
      </c>
      <c r="T318" s="286" t="e">
        <f t="shared" ca="1" si="268"/>
        <v>#N/A</v>
      </c>
      <c r="U318" s="285">
        <f t="shared" si="269"/>
        <v>5.1308911351285559E-7</v>
      </c>
      <c r="V318" s="99">
        <f t="shared" si="288"/>
        <v>9.9999999999999995E-7</v>
      </c>
      <c r="W318" s="99">
        <f t="shared" si="247"/>
        <v>0.99999999999999989</v>
      </c>
      <c r="X318" s="99" t="e">
        <f t="shared" ca="1" si="270"/>
        <v>#N/A</v>
      </c>
      <c r="Y318" s="161" t="e">
        <f t="shared" ca="1" si="257"/>
        <v>#N/A</v>
      </c>
      <c r="Z318" s="286" t="e">
        <f t="shared" ca="1" si="271"/>
        <v>#N/A</v>
      </c>
      <c r="AA318" s="285">
        <f t="shared" si="272"/>
        <v>1.643686310354307E-3</v>
      </c>
      <c r="AB318" s="99">
        <f t="shared" si="273"/>
        <v>1.6659999999999999E-3</v>
      </c>
      <c r="AC318" s="99">
        <f t="shared" si="248"/>
        <v>0.98677699999999979</v>
      </c>
      <c r="AD318" s="99" t="e">
        <f t="shared" ca="1" si="274"/>
        <v>#N/A</v>
      </c>
      <c r="AE318" s="161" t="e">
        <f t="shared" ca="1" si="249"/>
        <v>#N/A</v>
      </c>
      <c r="AF318" s="286" t="e">
        <f t="shared" ca="1" si="275"/>
        <v>#N/A</v>
      </c>
      <c r="AG318" s="285">
        <f t="shared" si="276"/>
        <v>4.4970088063734162E-4</v>
      </c>
      <c r="AH318" s="99">
        <f t="shared" si="277"/>
        <v>4.4999999999999999E-4</v>
      </c>
      <c r="AI318" s="99">
        <f t="shared" si="250"/>
        <v>0.99699799999999983</v>
      </c>
      <c r="AJ318" s="99" t="e">
        <f t="shared" ca="1" si="278"/>
        <v>#N/A</v>
      </c>
      <c r="AK318" s="161" t="e">
        <f t="shared" ca="1" si="251"/>
        <v>#N/A</v>
      </c>
      <c r="AL318" s="286" t="e">
        <f t="shared" ca="1" si="279"/>
        <v>#N/A</v>
      </c>
      <c r="AM318" s="285">
        <f t="shared" si="280"/>
        <v>4.6688239861926255E-4</v>
      </c>
      <c r="AN318" s="99">
        <f t="shared" si="281"/>
        <v>4.6799999999999999E-4</v>
      </c>
      <c r="AO318" s="99">
        <f t="shared" si="252"/>
        <v>0.99696300000000004</v>
      </c>
      <c r="AP318" s="99" t="e">
        <f t="shared" ca="1" si="282"/>
        <v>#N/A</v>
      </c>
      <c r="AQ318" s="161" t="e">
        <f t="shared" ca="1" si="253"/>
        <v>#N/A</v>
      </c>
      <c r="AR318" s="286" t="e">
        <f t="shared" ca="1" si="283"/>
        <v>#N/A</v>
      </c>
      <c r="AS318" s="285">
        <f t="shared" si="284"/>
        <v>1.5782715614770973E-4</v>
      </c>
      <c r="AT318" s="99">
        <f t="shared" si="285"/>
        <v>1.5799999999999999E-4</v>
      </c>
      <c r="AU318" s="99">
        <f t="shared" si="254"/>
        <v>0.99902200000000008</v>
      </c>
      <c r="AV318" s="99" t="e">
        <f t="shared" ca="1" si="286"/>
        <v>#N/A</v>
      </c>
      <c r="AW318" s="161" t="e">
        <f t="shared" ca="1" si="255"/>
        <v>#N/A</v>
      </c>
      <c r="AX318" s="286" t="e">
        <f t="shared" ca="1" si="287"/>
        <v>#N/A</v>
      </c>
    </row>
    <row r="319" spans="2:50" x14ac:dyDescent="0.25">
      <c r="B319" s="104">
        <f t="shared" si="244"/>
        <v>48</v>
      </c>
      <c r="C319" s="94">
        <v>49</v>
      </c>
      <c r="D319" s="94">
        <f t="shared" si="259"/>
        <v>6.7227272004677989E-5</v>
      </c>
      <c r="E319" s="94">
        <f t="shared" si="260"/>
        <v>6.7000000000000002E-5</v>
      </c>
      <c r="F319" s="94">
        <f t="shared" si="240"/>
        <v>0.99962399999999996</v>
      </c>
      <c r="G319" s="94" t="e">
        <f t="shared" ca="1" si="261"/>
        <v>#N/A</v>
      </c>
      <c r="H319" s="94" t="e">
        <f t="shared" ca="1" si="262"/>
        <v>#N/A</v>
      </c>
      <c r="I319" s="161" t="e">
        <f t="shared" ca="1" si="258"/>
        <v>#N/A</v>
      </c>
      <c r="J319" s="156" t="e">
        <f t="shared" ca="1" si="256"/>
        <v>#N/A</v>
      </c>
      <c r="K319" s="160" t="e">
        <f t="shared" ca="1" si="241"/>
        <v>#N/A</v>
      </c>
      <c r="L319" s="101" t="e">
        <f t="shared" ca="1" si="263"/>
        <v>#N/A</v>
      </c>
      <c r="M319" s="101" t="e">
        <f t="shared" ca="1" si="264"/>
        <v>#N/A</v>
      </c>
      <c r="N319" s="101" t="e">
        <f t="shared" ca="1" si="242"/>
        <v>#N/A</v>
      </c>
      <c r="O319" s="285">
        <f t="shared" si="265"/>
        <v>6.7227272004677989E-5</v>
      </c>
      <c r="P319" s="99">
        <f t="shared" si="266"/>
        <v>6.7000000000000002E-5</v>
      </c>
      <c r="Q319" s="99">
        <f t="shared" si="245"/>
        <v>0.99962399999999996</v>
      </c>
      <c r="R319" s="99" t="e">
        <f t="shared" ca="1" si="267"/>
        <v>#N/A</v>
      </c>
      <c r="S319" s="161" t="e">
        <f t="shared" ca="1" si="246"/>
        <v>#N/A</v>
      </c>
      <c r="T319" s="286" t="e">
        <f t="shared" ca="1" si="268"/>
        <v>#N/A</v>
      </c>
      <c r="U319" s="285">
        <f t="shared" si="269"/>
        <v>4.1525818422143559E-7</v>
      </c>
      <c r="V319" s="99">
        <f t="shared" si="288"/>
        <v>9.9999999999999995E-7</v>
      </c>
      <c r="W319" s="99">
        <f t="shared" si="247"/>
        <v>1.0000009999999999</v>
      </c>
      <c r="X319" s="99" t="e">
        <f t="shared" ca="1" si="270"/>
        <v>#N/A</v>
      </c>
      <c r="Y319" s="161" t="e">
        <f t="shared" ca="1" si="257"/>
        <v>#N/A</v>
      </c>
      <c r="Z319" s="286" t="e">
        <f t="shared" ca="1" si="271"/>
        <v>#N/A</v>
      </c>
      <c r="AA319" s="285">
        <f t="shared" si="272"/>
        <v>1.5321226026899946E-3</v>
      </c>
      <c r="AB319" s="99">
        <f t="shared" si="273"/>
        <v>1.5529999999999999E-3</v>
      </c>
      <c r="AC319" s="99">
        <f t="shared" si="248"/>
        <v>0.98832999999999982</v>
      </c>
      <c r="AD319" s="99" t="e">
        <f t="shared" ca="1" si="274"/>
        <v>#N/A</v>
      </c>
      <c r="AE319" s="161" t="e">
        <f t="shared" ca="1" si="249"/>
        <v>#N/A</v>
      </c>
      <c r="AF319" s="286" t="e">
        <f t="shared" ca="1" si="275"/>
        <v>#N/A</v>
      </c>
      <c r="AG319" s="285">
        <f t="shared" si="276"/>
        <v>4.0572358512178222E-4</v>
      </c>
      <c r="AH319" s="99">
        <f t="shared" si="277"/>
        <v>4.06E-4</v>
      </c>
      <c r="AI319" s="99">
        <f t="shared" si="250"/>
        <v>0.99740399999999985</v>
      </c>
      <c r="AJ319" s="99" t="e">
        <f t="shared" ca="1" si="278"/>
        <v>#N/A</v>
      </c>
      <c r="AK319" s="161" t="e">
        <f t="shared" ca="1" si="251"/>
        <v>#N/A</v>
      </c>
      <c r="AL319" s="286" t="e">
        <f t="shared" ca="1" si="279"/>
        <v>#N/A</v>
      </c>
      <c r="AM319" s="285">
        <f t="shared" si="280"/>
        <v>4.1922322195960378E-4</v>
      </c>
      <c r="AN319" s="99">
        <f t="shared" si="281"/>
        <v>4.2000000000000002E-4</v>
      </c>
      <c r="AO319" s="99">
        <f t="shared" si="252"/>
        <v>0.99738300000000002</v>
      </c>
      <c r="AP319" s="99" t="e">
        <f t="shared" ca="1" si="282"/>
        <v>#N/A</v>
      </c>
      <c r="AQ319" s="161" t="e">
        <f t="shared" ca="1" si="253"/>
        <v>#N/A</v>
      </c>
      <c r="AR319" s="286" t="e">
        <f t="shared" ca="1" si="283"/>
        <v>#N/A</v>
      </c>
      <c r="AS319" s="285">
        <f t="shared" si="284"/>
        <v>1.4033076680997531E-4</v>
      </c>
      <c r="AT319" s="99">
        <f t="shared" si="285"/>
        <v>1.3999999999999999E-4</v>
      </c>
      <c r="AU319" s="99">
        <f t="shared" si="254"/>
        <v>0.99916200000000011</v>
      </c>
      <c r="AV319" s="99" t="e">
        <f t="shared" ca="1" si="286"/>
        <v>#N/A</v>
      </c>
      <c r="AW319" s="161" t="e">
        <f t="shared" ca="1" si="255"/>
        <v>#N/A</v>
      </c>
      <c r="AX319" s="286" t="e">
        <f t="shared" ca="1" si="287"/>
        <v>#N/A</v>
      </c>
    </row>
    <row r="320" spans="2:50" x14ac:dyDescent="0.25">
      <c r="B320" s="104">
        <f t="shared" si="244"/>
        <v>49</v>
      </c>
      <c r="C320" s="94">
        <v>50</v>
      </c>
      <c r="D320" s="94">
        <f t="shared" si="259"/>
        <v>5.9055141357435776E-5</v>
      </c>
      <c r="E320" s="94">
        <f t="shared" si="260"/>
        <v>5.8999999999999998E-5</v>
      </c>
      <c r="F320" s="94">
        <f t="shared" si="240"/>
        <v>0.99968299999999999</v>
      </c>
      <c r="G320" s="94" t="e">
        <f t="shared" ca="1" si="261"/>
        <v>#N/A</v>
      </c>
      <c r="H320" s="94" t="e">
        <f t="shared" ca="1" si="262"/>
        <v>#N/A</v>
      </c>
      <c r="I320" s="161" t="e">
        <f t="shared" ca="1" si="258"/>
        <v>#N/A</v>
      </c>
      <c r="J320" s="156" t="e">
        <f t="shared" ca="1" si="256"/>
        <v>#N/A</v>
      </c>
      <c r="K320" s="160" t="e">
        <f t="shared" ca="1" si="241"/>
        <v>#N/A</v>
      </c>
      <c r="L320" s="101" t="e">
        <f t="shared" ca="1" si="263"/>
        <v>#N/A</v>
      </c>
      <c r="M320" s="101" t="e">
        <f t="shared" ca="1" si="264"/>
        <v>#N/A</v>
      </c>
      <c r="N320" s="101" t="e">
        <f t="shared" ca="1" si="242"/>
        <v>#N/A</v>
      </c>
      <c r="O320" s="285">
        <f t="shared" si="265"/>
        <v>5.9055141357435776E-5</v>
      </c>
      <c r="P320" s="99">
        <f t="shared" si="266"/>
        <v>5.8999999999999998E-5</v>
      </c>
      <c r="Q320" s="99">
        <f t="shared" si="245"/>
        <v>0.99968299999999999</v>
      </c>
      <c r="R320" s="99" t="e">
        <f t="shared" ca="1" si="267"/>
        <v>#N/A</v>
      </c>
      <c r="S320" s="161" t="e">
        <f t="shared" ca="1" si="246"/>
        <v>#N/A</v>
      </c>
      <c r="T320" s="286" t="e">
        <f t="shared" ca="1" si="268"/>
        <v>#N/A</v>
      </c>
      <c r="U320" s="285">
        <f t="shared" si="269"/>
        <v>3.3695197060836401E-7</v>
      </c>
      <c r="V320" s="99">
        <f t="shared" si="288"/>
        <v>9.9999999999999995E-7</v>
      </c>
      <c r="W320" s="99">
        <f t="shared" si="247"/>
        <v>1.0000019999999998</v>
      </c>
      <c r="X320" s="99" t="e">
        <f t="shared" ca="1" si="270"/>
        <v>#N/A</v>
      </c>
      <c r="Y320" s="161" t="e">
        <f t="shared" ca="1" si="257"/>
        <v>#N/A</v>
      </c>
      <c r="Z320" s="286" t="e">
        <f t="shared" ca="1" si="271"/>
        <v>#N/A</v>
      </c>
      <c r="AA320" s="285">
        <f t="shared" si="272"/>
        <v>1.4292440533123691E-3</v>
      </c>
      <c r="AB320" s="99">
        <f t="shared" si="273"/>
        <v>1.449E-3</v>
      </c>
      <c r="AC320" s="99">
        <f t="shared" si="248"/>
        <v>0.98977899999999985</v>
      </c>
      <c r="AD320" s="99" t="e">
        <f t="shared" ca="1" si="274"/>
        <v>#N/A</v>
      </c>
      <c r="AE320" s="161" t="e">
        <f t="shared" ca="1" si="249"/>
        <v>#N/A</v>
      </c>
      <c r="AF320" s="286" t="e">
        <f t="shared" ca="1" si="275"/>
        <v>#N/A</v>
      </c>
      <c r="AG320" s="285">
        <f t="shared" si="276"/>
        <v>3.6645314999268026E-4</v>
      </c>
      <c r="AH320" s="99">
        <f t="shared" si="277"/>
        <v>3.6699999999999998E-4</v>
      </c>
      <c r="AI320" s="99">
        <f t="shared" si="250"/>
        <v>0.99777099999999985</v>
      </c>
      <c r="AJ320" s="99" t="e">
        <f t="shared" ca="1" si="278"/>
        <v>#N/A</v>
      </c>
      <c r="AK320" s="161" t="e">
        <f t="shared" ca="1" si="251"/>
        <v>#N/A</v>
      </c>
      <c r="AL320" s="286" t="e">
        <f t="shared" ca="1" si="279"/>
        <v>#N/A</v>
      </c>
      <c r="AM320" s="285">
        <f t="shared" si="280"/>
        <v>3.7684175326823896E-4</v>
      </c>
      <c r="AN320" s="99">
        <f t="shared" si="281"/>
        <v>3.77E-4</v>
      </c>
      <c r="AO320" s="99">
        <f t="shared" si="252"/>
        <v>0.99775999999999998</v>
      </c>
      <c r="AP320" s="99" t="e">
        <f t="shared" ca="1" si="282"/>
        <v>#N/A</v>
      </c>
      <c r="AQ320" s="161" t="e">
        <f t="shared" ca="1" si="253"/>
        <v>#N/A</v>
      </c>
      <c r="AR320" s="286" t="e">
        <f t="shared" ca="1" si="283"/>
        <v>#N/A</v>
      </c>
      <c r="AS320" s="285">
        <f t="shared" si="284"/>
        <v>1.2494310279752971E-4</v>
      </c>
      <c r="AT320" s="99">
        <f t="shared" si="285"/>
        <v>1.25E-4</v>
      </c>
      <c r="AU320" s="99">
        <f t="shared" si="254"/>
        <v>0.99928700000000015</v>
      </c>
      <c r="AV320" s="99" t="e">
        <f t="shared" ca="1" si="286"/>
        <v>#N/A</v>
      </c>
      <c r="AW320" s="161" t="e">
        <f t="shared" ca="1" si="255"/>
        <v>#N/A</v>
      </c>
      <c r="AX320" s="286" t="e">
        <f t="shared" ca="1" si="287"/>
        <v>#N/A</v>
      </c>
    </row>
    <row r="321" spans="2:87" x14ac:dyDescent="0.25">
      <c r="B321" s="104">
        <f t="shared" si="244"/>
        <v>50</v>
      </c>
      <c r="C321" s="94">
        <v>51</v>
      </c>
      <c r="D321" s="94">
        <f t="shared" si="259"/>
        <v>5.1953351781703196E-5</v>
      </c>
      <c r="E321" s="94">
        <f t="shared" si="260"/>
        <v>5.1999999999999997E-5</v>
      </c>
      <c r="F321" s="94">
        <f t="shared" si="240"/>
        <v>0.99973500000000004</v>
      </c>
      <c r="G321" s="94" t="e">
        <f t="shared" ca="1" si="261"/>
        <v>#N/A</v>
      </c>
      <c r="H321" s="94" t="e">
        <f t="shared" ca="1" si="262"/>
        <v>#N/A</v>
      </c>
      <c r="I321" s="161" t="e">
        <f t="shared" ca="1" si="258"/>
        <v>#N/A</v>
      </c>
      <c r="J321" s="156" t="e">
        <f t="shared" ca="1" si="256"/>
        <v>#N/A</v>
      </c>
      <c r="K321" s="160" t="e">
        <f t="shared" ca="1" si="241"/>
        <v>#N/A</v>
      </c>
      <c r="L321" s="101" t="e">
        <f t="shared" ca="1" si="263"/>
        <v>#N/A</v>
      </c>
      <c r="M321" s="101" t="e">
        <f t="shared" ca="1" si="264"/>
        <v>#N/A</v>
      </c>
      <c r="N321" s="101" t="e">
        <f t="shared" ca="1" si="242"/>
        <v>#N/A</v>
      </c>
      <c r="O321" s="285">
        <f t="shared" si="265"/>
        <v>5.1953351781703196E-5</v>
      </c>
      <c r="P321" s="99">
        <f t="shared" si="266"/>
        <v>5.1999999999999997E-5</v>
      </c>
      <c r="Q321" s="99">
        <f t="shared" si="245"/>
        <v>0.99973500000000004</v>
      </c>
      <c r="R321" s="99" t="e">
        <f t="shared" ca="1" si="267"/>
        <v>#N/A</v>
      </c>
      <c r="S321" s="161" t="e">
        <f t="shared" ca="1" si="246"/>
        <v>#N/A</v>
      </c>
      <c r="T321" s="286" t="e">
        <f t="shared" ca="1" si="268"/>
        <v>#N/A</v>
      </c>
      <c r="U321" s="285">
        <f t="shared" si="269"/>
        <v>2.7410187959883153E-7</v>
      </c>
      <c r="V321" s="99">
        <f t="shared" si="288"/>
        <v>9.9999999999999995E-7</v>
      </c>
      <c r="W321" s="99">
        <f t="shared" si="247"/>
        <v>1.0000029999999998</v>
      </c>
      <c r="X321" s="99" t="e">
        <f t="shared" ca="1" si="270"/>
        <v>#N/A</v>
      </c>
      <c r="Y321" s="161" t="e">
        <f t="shared" ca="1" si="257"/>
        <v>#N/A</v>
      </c>
      <c r="Z321" s="286" t="e">
        <f t="shared" ca="1" si="271"/>
        <v>#N/A</v>
      </c>
      <c r="AA321" s="285">
        <f t="shared" si="272"/>
        <v>1.3342881265058534E-3</v>
      </c>
      <c r="AB321" s="99">
        <f t="shared" si="273"/>
        <v>1.353E-3</v>
      </c>
      <c r="AC321" s="99">
        <f t="shared" si="248"/>
        <v>0.9911319999999999</v>
      </c>
      <c r="AD321" s="99" t="e">
        <f t="shared" ca="1" si="274"/>
        <v>#N/A</v>
      </c>
      <c r="AE321" s="161" t="e">
        <f t="shared" ca="1" si="249"/>
        <v>#N/A</v>
      </c>
      <c r="AF321" s="286" t="e">
        <f t="shared" ca="1" si="275"/>
        <v>#N/A</v>
      </c>
      <c r="AG321" s="285">
        <f t="shared" si="276"/>
        <v>3.313427969764005E-4</v>
      </c>
      <c r="AH321" s="99">
        <f t="shared" si="277"/>
        <v>3.3199999999999999E-4</v>
      </c>
      <c r="AI321" s="99">
        <f t="shared" si="250"/>
        <v>0.99810299999999985</v>
      </c>
      <c r="AJ321" s="99" t="e">
        <f t="shared" ca="1" si="278"/>
        <v>#N/A</v>
      </c>
      <c r="AK321" s="161" t="e">
        <f t="shared" ca="1" si="251"/>
        <v>#N/A</v>
      </c>
      <c r="AL321" s="286" t="e">
        <f t="shared" ca="1" si="279"/>
        <v>#N/A</v>
      </c>
      <c r="AM321" s="285">
        <f t="shared" si="280"/>
        <v>3.3910867561748082E-4</v>
      </c>
      <c r="AN321" s="99">
        <f t="shared" si="281"/>
        <v>3.4000000000000002E-4</v>
      </c>
      <c r="AO321" s="99">
        <f t="shared" si="252"/>
        <v>0.99809999999999999</v>
      </c>
      <c r="AP321" s="99" t="e">
        <f t="shared" ca="1" si="282"/>
        <v>#N/A</v>
      </c>
      <c r="AQ321" s="161" t="e">
        <f t="shared" ca="1" si="253"/>
        <v>#N/A</v>
      </c>
      <c r="AR321" s="286" t="e">
        <f t="shared" ca="1" si="283"/>
        <v>#N/A</v>
      </c>
      <c r="AS321" s="285">
        <f t="shared" si="284"/>
        <v>1.1138976292554754E-4</v>
      </c>
      <c r="AT321" s="99">
        <f t="shared" si="285"/>
        <v>1.11E-4</v>
      </c>
      <c r="AU321" s="99">
        <f t="shared" si="254"/>
        <v>0.99939800000000012</v>
      </c>
      <c r="AV321" s="99" t="e">
        <f t="shared" ca="1" si="286"/>
        <v>#N/A</v>
      </c>
      <c r="AW321" s="161" t="e">
        <f t="shared" ca="1" si="255"/>
        <v>#N/A</v>
      </c>
      <c r="AX321" s="286" t="e">
        <f t="shared" ca="1" si="287"/>
        <v>#N/A</v>
      </c>
    </row>
    <row r="322" spans="2:87" x14ac:dyDescent="0.25">
      <c r="B322" s="104">
        <f t="shared" si="244"/>
        <v>51</v>
      </c>
      <c r="C322" s="94">
        <v>52</v>
      </c>
      <c r="D322" s="94">
        <f t="shared" si="259"/>
        <v>4.5771708486074217E-5</v>
      </c>
      <c r="E322" s="94">
        <f t="shared" si="260"/>
        <v>4.6E-5</v>
      </c>
      <c r="F322" s="94">
        <f t="shared" si="240"/>
        <v>0.99978100000000003</v>
      </c>
      <c r="G322" s="94" t="e">
        <f t="shared" ca="1" si="261"/>
        <v>#N/A</v>
      </c>
      <c r="H322" s="94" t="e">
        <f t="shared" ca="1" si="262"/>
        <v>#N/A</v>
      </c>
      <c r="I322" s="161" t="e">
        <f t="shared" ca="1" si="258"/>
        <v>#N/A</v>
      </c>
      <c r="J322" s="156" t="e">
        <f t="shared" ca="1" si="256"/>
        <v>#N/A</v>
      </c>
      <c r="K322" s="160" t="e">
        <f t="shared" ca="1" si="241"/>
        <v>#N/A</v>
      </c>
      <c r="L322" s="101" t="e">
        <f t="shared" ca="1" si="263"/>
        <v>#N/A</v>
      </c>
      <c r="M322" s="101" t="e">
        <f t="shared" ca="1" si="264"/>
        <v>#N/A</v>
      </c>
      <c r="N322" s="101" t="e">
        <f t="shared" ca="1" si="242"/>
        <v>#N/A</v>
      </c>
      <c r="O322" s="285">
        <f t="shared" si="265"/>
        <v>4.5771708486074217E-5</v>
      </c>
      <c r="P322" s="99">
        <f t="shared" si="266"/>
        <v>4.6E-5</v>
      </c>
      <c r="Q322" s="99">
        <f t="shared" si="245"/>
        <v>0.99978100000000003</v>
      </c>
      <c r="R322" s="99" t="e">
        <f t="shared" ca="1" si="267"/>
        <v>#N/A</v>
      </c>
      <c r="S322" s="161" t="e">
        <f t="shared" ca="1" si="246"/>
        <v>#N/A</v>
      </c>
      <c r="T322" s="286" t="e">
        <f t="shared" ca="1" si="268"/>
        <v>#N/A</v>
      </c>
      <c r="U322" s="285">
        <f t="shared" si="269"/>
        <v>2.2352250708884594E-7</v>
      </c>
      <c r="V322" s="99">
        <f t="shared" si="288"/>
        <v>9.9999999999999995E-7</v>
      </c>
      <c r="W322" s="99">
        <f t="shared" si="247"/>
        <v>1.0000039999999997</v>
      </c>
      <c r="X322" s="99" t="e">
        <f t="shared" ca="1" si="270"/>
        <v>#N/A</v>
      </c>
      <c r="Y322" s="161" t="e">
        <f t="shared" ca="1" si="257"/>
        <v>#N/A</v>
      </c>
      <c r="Z322" s="286" t="e">
        <f t="shared" ca="1" si="271"/>
        <v>#N/A</v>
      </c>
      <c r="AA322" s="285">
        <f t="shared" si="272"/>
        <v>1.246566681355186E-3</v>
      </c>
      <c r="AB322" s="99">
        <f t="shared" si="273"/>
        <v>1.2639999999999999E-3</v>
      </c>
      <c r="AC322" s="99">
        <f t="shared" si="248"/>
        <v>0.99239599999999994</v>
      </c>
      <c r="AD322" s="99" t="e">
        <f t="shared" ca="1" si="274"/>
        <v>#N/A</v>
      </c>
      <c r="AE322" s="161" t="e">
        <f t="shared" ca="1" si="249"/>
        <v>#N/A</v>
      </c>
      <c r="AF322" s="286" t="e">
        <f t="shared" ca="1" si="275"/>
        <v>#N/A</v>
      </c>
      <c r="AG322" s="285">
        <f t="shared" si="276"/>
        <v>2.9991416138602794E-4</v>
      </c>
      <c r="AH322" s="99">
        <f t="shared" si="277"/>
        <v>2.9999999999999997E-4</v>
      </c>
      <c r="AI322" s="99">
        <f t="shared" si="250"/>
        <v>0.99840299999999982</v>
      </c>
      <c r="AJ322" s="99" t="e">
        <f t="shared" ca="1" si="278"/>
        <v>#N/A</v>
      </c>
      <c r="AK322" s="161" t="e">
        <f t="shared" ca="1" si="251"/>
        <v>#N/A</v>
      </c>
      <c r="AL322" s="286" t="e">
        <f t="shared" ca="1" si="279"/>
        <v>#N/A</v>
      </c>
      <c r="AM322" s="285">
        <f t="shared" si="280"/>
        <v>3.0547490742817435E-4</v>
      </c>
      <c r="AN322" s="99">
        <f t="shared" si="281"/>
        <v>3.0600000000000001E-4</v>
      </c>
      <c r="AO322" s="99">
        <f t="shared" si="252"/>
        <v>0.99840600000000002</v>
      </c>
      <c r="AP322" s="99" t="e">
        <f t="shared" ca="1" si="282"/>
        <v>#N/A</v>
      </c>
      <c r="AQ322" s="161" t="e">
        <f t="shared" ca="1" si="253"/>
        <v>#N/A</v>
      </c>
      <c r="AR322" s="286" t="e">
        <f t="shared" ca="1" si="283"/>
        <v>#N/A</v>
      </c>
      <c r="AS322" s="285">
        <f t="shared" si="284"/>
        <v>9.9434656347357226E-5</v>
      </c>
      <c r="AT322" s="99">
        <f t="shared" si="285"/>
        <v>9.8999999999999994E-5</v>
      </c>
      <c r="AU322" s="99">
        <f t="shared" si="254"/>
        <v>0.99949700000000008</v>
      </c>
      <c r="AV322" s="99" t="e">
        <f t="shared" ca="1" si="286"/>
        <v>#N/A</v>
      </c>
      <c r="AW322" s="161" t="e">
        <f t="shared" ca="1" si="255"/>
        <v>#N/A</v>
      </c>
      <c r="AX322" s="286" t="e">
        <f t="shared" ca="1" si="287"/>
        <v>#N/A</v>
      </c>
    </row>
    <row r="323" spans="2:87" x14ac:dyDescent="0.25">
      <c r="B323" s="104">
        <f t="shared" si="244"/>
        <v>52</v>
      </c>
      <c r="C323" s="94">
        <v>53</v>
      </c>
      <c r="D323" s="94">
        <f t="shared" si="259"/>
        <v>4.038248114819377E-5</v>
      </c>
      <c r="E323" s="94">
        <f t="shared" si="260"/>
        <v>4.0000000000000003E-5</v>
      </c>
      <c r="F323" s="94">
        <f t="shared" si="240"/>
        <v>0.99982100000000007</v>
      </c>
      <c r="G323" s="94" t="e">
        <f t="shared" ca="1" si="261"/>
        <v>#N/A</v>
      </c>
      <c r="H323" s="94" t="e">
        <f t="shared" ca="1" si="262"/>
        <v>#N/A</v>
      </c>
      <c r="I323" s="161" t="e">
        <f t="shared" ca="1" si="258"/>
        <v>#N/A</v>
      </c>
      <c r="J323" s="156" t="e">
        <f t="shared" ca="1" si="256"/>
        <v>#N/A</v>
      </c>
      <c r="K323" s="160" t="e">
        <f t="shared" ca="1" si="241"/>
        <v>#N/A</v>
      </c>
      <c r="L323" s="101" t="e">
        <f t="shared" ca="1" si="263"/>
        <v>#N/A</v>
      </c>
      <c r="M323" s="101" t="e">
        <f t="shared" ca="1" si="264"/>
        <v>#N/A</v>
      </c>
      <c r="N323" s="101" t="e">
        <f t="shared" ca="1" si="242"/>
        <v>#N/A</v>
      </c>
      <c r="O323" s="285">
        <f t="shared" si="265"/>
        <v>4.038248114819377E-5</v>
      </c>
      <c r="P323" s="99">
        <f t="shared" si="266"/>
        <v>4.0000000000000003E-5</v>
      </c>
      <c r="Q323" s="99">
        <f t="shared" si="245"/>
        <v>0.99982100000000007</v>
      </c>
      <c r="R323" s="99" t="e">
        <f t="shared" ca="1" si="267"/>
        <v>#N/A</v>
      </c>
      <c r="S323" s="161" t="e">
        <f t="shared" ca="1" si="246"/>
        <v>#N/A</v>
      </c>
      <c r="T323" s="286" t="e">
        <f t="shared" ca="1" si="268"/>
        <v>#N/A</v>
      </c>
      <c r="U323" s="285">
        <f t="shared" si="269"/>
        <v>1.8271235104448112E-7</v>
      </c>
      <c r="V323" s="99">
        <f t="shared" si="288"/>
        <v>9.9999999999999995E-7</v>
      </c>
      <c r="W323" s="99">
        <f t="shared" si="247"/>
        <v>1.0000049999999996</v>
      </c>
      <c r="X323" s="99" t="e">
        <f t="shared" ca="1" si="270"/>
        <v>#N/A</v>
      </c>
      <c r="Y323" s="161" t="e">
        <f t="shared" ca="1" si="257"/>
        <v>#N/A</v>
      </c>
      <c r="Z323" s="286" t="e">
        <f t="shared" ca="1" si="271"/>
        <v>#N/A</v>
      </c>
      <c r="AA323" s="285">
        <f t="shared" si="272"/>
        <v>1.1654580128036783E-3</v>
      </c>
      <c r="AB323" s="99">
        <f t="shared" si="273"/>
        <v>1.181E-3</v>
      </c>
      <c r="AC323" s="99">
        <f t="shared" si="248"/>
        <v>0.99357699999999993</v>
      </c>
      <c r="AD323" s="99" t="e">
        <f t="shared" ca="1" si="274"/>
        <v>#N/A</v>
      </c>
      <c r="AE323" s="161" t="e">
        <f t="shared" ca="1" si="249"/>
        <v>#N/A</v>
      </c>
      <c r="AF323" s="286" t="e">
        <f t="shared" ca="1" si="275"/>
        <v>#N/A</v>
      </c>
      <c r="AG323" s="285">
        <f t="shared" si="276"/>
        <v>2.7174813777555088E-4</v>
      </c>
      <c r="AH323" s="99">
        <f t="shared" si="277"/>
        <v>2.72E-4</v>
      </c>
      <c r="AI323" s="99">
        <f t="shared" si="250"/>
        <v>0.99867499999999987</v>
      </c>
      <c r="AJ323" s="99" t="e">
        <f t="shared" ca="1" si="278"/>
        <v>#N/A</v>
      </c>
      <c r="AK323" s="161" t="e">
        <f t="shared" ca="1" si="251"/>
        <v>#N/A</v>
      </c>
      <c r="AL323" s="286" t="e">
        <f t="shared" ca="1" si="279"/>
        <v>#N/A</v>
      </c>
      <c r="AM323" s="285">
        <f t="shared" si="280"/>
        <v>2.7546073838424171E-4</v>
      </c>
      <c r="AN323" s="99">
        <f t="shared" si="281"/>
        <v>2.7599999999999999E-4</v>
      </c>
      <c r="AO323" s="99">
        <f t="shared" si="252"/>
        <v>0.99868200000000007</v>
      </c>
      <c r="AP323" s="99" t="e">
        <f t="shared" ca="1" si="282"/>
        <v>#N/A</v>
      </c>
      <c r="AQ323" s="161" t="e">
        <f t="shared" ca="1" si="253"/>
        <v>#N/A</v>
      </c>
      <c r="AR323" s="286" t="e">
        <f t="shared" ca="1" si="283"/>
        <v>#N/A</v>
      </c>
      <c r="AS323" s="285">
        <f t="shared" si="284"/>
        <v>8.8874296714957566E-5</v>
      </c>
      <c r="AT323" s="99">
        <f t="shared" si="285"/>
        <v>8.8999999999999995E-5</v>
      </c>
      <c r="AU323" s="99">
        <f t="shared" si="254"/>
        <v>0.99958600000000009</v>
      </c>
      <c r="AV323" s="99" t="e">
        <f t="shared" ca="1" si="286"/>
        <v>#N/A</v>
      </c>
      <c r="AW323" s="161" t="e">
        <f t="shared" ca="1" si="255"/>
        <v>#N/A</v>
      </c>
      <c r="AX323" s="286" t="e">
        <f t="shared" ca="1" si="287"/>
        <v>#N/A</v>
      </c>
    </row>
    <row r="324" spans="2:87" x14ac:dyDescent="0.25">
      <c r="B324" s="104">
        <f t="shared" si="244"/>
        <v>53</v>
      </c>
      <c r="C324" s="94">
        <v>54</v>
      </c>
      <c r="D324" s="94">
        <f t="shared" si="259"/>
        <v>3.5676839436558149E-5</v>
      </c>
      <c r="E324" s="94">
        <f t="shared" si="260"/>
        <v>3.6000000000000001E-5</v>
      </c>
      <c r="F324" s="94">
        <f t="shared" si="240"/>
        <v>0.99985700000000011</v>
      </c>
      <c r="G324" s="94" t="e">
        <f t="shared" ca="1" si="261"/>
        <v>#N/A</v>
      </c>
      <c r="H324" s="94" t="e">
        <f t="shared" ca="1" si="262"/>
        <v>#N/A</v>
      </c>
      <c r="I324" s="161" t="e">
        <f t="shared" ca="1" si="258"/>
        <v>#N/A</v>
      </c>
      <c r="J324" s="156" t="e">
        <f t="shared" ca="1" si="256"/>
        <v>#N/A</v>
      </c>
      <c r="K324" s="160" t="e">
        <f t="shared" ca="1" si="241"/>
        <v>#N/A</v>
      </c>
      <c r="L324" s="101" t="e">
        <f t="shared" ca="1" si="263"/>
        <v>#N/A</v>
      </c>
      <c r="M324" s="101" t="e">
        <f t="shared" ca="1" si="264"/>
        <v>#N/A</v>
      </c>
      <c r="N324" s="101" t="e">
        <f t="shared" ca="1" si="242"/>
        <v>#N/A</v>
      </c>
      <c r="O324" s="285">
        <f t="shared" si="265"/>
        <v>3.5676839436558149E-5</v>
      </c>
      <c r="P324" s="99">
        <f t="shared" si="266"/>
        <v>3.6000000000000001E-5</v>
      </c>
      <c r="Q324" s="99">
        <f t="shared" si="245"/>
        <v>0.99985700000000011</v>
      </c>
      <c r="R324" s="99" t="e">
        <f t="shared" ca="1" si="267"/>
        <v>#N/A</v>
      </c>
      <c r="S324" s="161" t="e">
        <f t="shared" ca="1" si="246"/>
        <v>#N/A</v>
      </c>
      <c r="T324" s="286" t="e">
        <f t="shared" ca="1" si="268"/>
        <v>#N/A</v>
      </c>
      <c r="U324" s="285">
        <f t="shared" si="269"/>
        <v>1.4970117409904668E-7</v>
      </c>
      <c r="V324" s="99">
        <f t="shared" si="288"/>
        <v>9.9999999999999995E-7</v>
      </c>
      <c r="W324" s="99">
        <f t="shared" si="247"/>
        <v>1.0000059999999995</v>
      </c>
      <c r="X324" s="99" t="e">
        <f t="shared" ca="1" si="270"/>
        <v>#N/A</v>
      </c>
      <c r="Y324" s="161" t="e">
        <f t="shared" ca="1" si="257"/>
        <v>#N/A</v>
      </c>
      <c r="Z324" s="286" t="e">
        <f t="shared" ca="1" si="271"/>
        <v>#N/A</v>
      </c>
      <c r="AA324" s="285">
        <f t="shared" si="272"/>
        <v>1.0903998149508402E-3</v>
      </c>
      <c r="AB324" s="99">
        <f t="shared" si="273"/>
        <v>1.1050000000000001E-3</v>
      </c>
      <c r="AC324" s="99">
        <f t="shared" si="248"/>
        <v>0.99468199999999996</v>
      </c>
      <c r="AD324" s="99" t="e">
        <f t="shared" ca="1" si="274"/>
        <v>#N/A</v>
      </c>
      <c r="AE324" s="161" t="e">
        <f t="shared" ca="1" si="249"/>
        <v>#N/A</v>
      </c>
      <c r="AF324" s="286" t="e">
        <f t="shared" ca="1" si="275"/>
        <v>#N/A</v>
      </c>
      <c r="AG324" s="285">
        <f t="shared" si="276"/>
        <v>2.4647702673683371E-4</v>
      </c>
      <c r="AH324" s="99">
        <f t="shared" si="277"/>
        <v>2.4699999999999999E-4</v>
      </c>
      <c r="AI324" s="99">
        <f t="shared" si="250"/>
        <v>0.99892199999999987</v>
      </c>
      <c r="AJ324" s="99" t="e">
        <f t="shared" ca="1" si="278"/>
        <v>#N/A</v>
      </c>
      <c r="AK324" s="161" t="e">
        <f t="shared" ca="1" si="251"/>
        <v>#N/A</v>
      </c>
      <c r="AL324" s="286" t="e">
        <f t="shared" ca="1" si="279"/>
        <v>#N/A</v>
      </c>
      <c r="AM324" s="285">
        <f t="shared" si="280"/>
        <v>2.486465171408115E-4</v>
      </c>
      <c r="AN324" s="99">
        <f t="shared" si="281"/>
        <v>2.4899999999999998E-4</v>
      </c>
      <c r="AO324" s="99">
        <f t="shared" si="252"/>
        <v>0.99893100000000012</v>
      </c>
      <c r="AP324" s="99" t="e">
        <f t="shared" ca="1" si="282"/>
        <v>#N/A</v>
      </c>
      <c r="AQ324" s="161" t="e">
        <f t="shared" ca="1" si="253"/>
        <v>#N/A</v>
      </c>
      <c r="AR324" s="286" t="e">
        <f t="shared" ca="1" si="283"/>
        <v>#N/A</v>
      </c>
      <c r="AS324" s="285">
        <f t="shared" si="284"/>
        <v>7.9532998134948862E-5</v>
      </c>
      <c r="AT324" s="99">
        <f t="shared" si="285"/>
        <v>8.0000000000000007E-5</v>
      </c>
      <c r="AU324" s="99">
        <f t="shared" si="254"/>
        <v>0.99966600000000005</v>
      </c>
      <c r="AV324" s="99" t="e">
        <f t="shared" ca="1" si="286"/>
        <v>#N/A</v>
      </c>
      <c r="AW324" s="161" t="e">
        <f t="shared" ca="1" si="255"/>
        <v>#N/A</v>
      </c>
      <c r="AX324" s="286" t="e">
        <f t="shared" ca="1" si="287"/>
        <v>#N/A</v>
      </c>
    </row>
    <row r="325" spans="2:87" x14ac:dyDescent="0.25">
      <c r="B325" s="104">
        <f t="shared" si="244"/>
        <v>54</v>
      </c>
      <c r="C325" s="94">
        <v>55</v>
      </c>
      <c r="D325" s="94">
        <f t="shared" si="259"/>
        <v>3.1561885933360959E-5</v>
      </c>
      <c r="E325" s="94">
        <f t="shared" si="260"/>
        <v>3.1999999999999999E-5</v>
      </c>
      <c r="F325" s="94">
        <f t="shared" si="240"/>
        <v>0.99988900000000014</v>
      </c>
      <c r="G325" s="94" t="e">
        <f t="shared" ca="1" si="261"/>
        <v>#N/A</v>
      </c>
      <c r="H325" s="94" t="e">
        <f t="shared" ca="1" si="262"/>
        <v>#N/A</v>
      </c>
      <c r="I325" s="161" t="e">
        <f t="shared" ca="1" si="258"/>
        <v>#N/A</v>
      </c>
      <c r="J325" s="156" t="e">
        <f t="shared" ca="1" si="256"/>
        <v>#N/A</v>
      </c>
      <c r="K325" s="160" t="e">
        <f t="shared" ca="1" si="241"/>
        <v>#N/A</v>
      </c>
      <c r="L325" s="101" t="e">
        <f t="shared" ca="1" si="263"/>
        <v>#N/A</v>
      </c>
      <c r="M325" s="101" t="e">
        <f t="shared" ca="1" si="264"/>
        <v>#N/A</v>
      </c>
      <c r="N325" s="101" t="e">
        <f t="shared" ca="1" si="242"/>
        <v>#N/A</v>
      </c>
      <c r="O325" s="285">
        <f t="shared" si="265"/>
        <v>3.1561885933360959E-5</v>
      </c>
      <c r="P325" s="99">
        <f t="shared" si="266"/>
        <v>3.1999999999999999E-5</v>
      </c>
      <c r="Q325" s="99">
        <f t="shared" si="245"/>
        <v>0.99988900000000014</v>
      </c>
      <c r="R325" s="99" t="e">
        <f t="shared" ca="1" si="267"/>
        <v>#N/A</v>
      </c>
      <c r="S325" s="161" t="e">
        <f t="shared" ca="1" si="246"/>
        <v>#N/A</v>
      </c>
      <c r="T325" s="286" t="e">
        <f t="shared" ca="1" si="268"/>
        <v>#N/A</v>
      </c>
      <c r="U325" s="285">
        <f t="shared" si="269"/>
        <v>1.2293270878925832E-7</v>
      </c>
      <c r="V325" s="99">
        <f t="shared" si="288"/>
        <v>9.9999999999999995E-7</v>
      </c>
      <c r="W325" s="99">
        <f t="shared" si="247"/>
        <v>1.0000069999999994</v>
      </c>
      <c r="X325" s="99" t="e">
        <f t="shared" ca="1" si="270"/>
        <v>#N/A</v>
      </c>
      <c r="Y325" s="161" t="e">
        <f t="shared" ca="1" si="257"/>
        <v>#N/A</v>
      </c>
      <c r="Z325" s="286" t="e">
        <f t="shared" ca="1" si="271"/>
        <v>#N/A</v>
      </c>
      <c r="AA325" s="285">
        <f t="shared" si="272"/>
        <v>1.0208829522263682E-3</v>
      </c>
      <c r="AB325" s="99">
        <f t="shared" si="273"/>
        <v>1.0349999999999999E-3</v>
      </c>
      <c r="AC325" s="99">
        <f t="shared" si="248"/>
        <v>0.99571699999999996</v>
      </c>
      <c r="AD325" s="99" t="e">
        <f t="shared" ca="1" si="274"/>
        <v>#N/A</v>
      </c>
      <c r="AE325" s="161" t="e">
        <f t="shared" ca="1" si="249"/>
        <v>#N/A</v>
      </c>
      <c r="AF325" s="286" t="e">
        <f t="shared" ca="1" si="275"/>
        <v>#N/A</v>
      </c>
      <c r="AG325" s="285">
        <f t="shared" si="276"/>
        <v>2.2377778769097617E-4</v>
      </c>
      <c r="AH325" s="99">
        <f t="shared" si="277"/>
        <v>2.24E-4</v>
      </c>
      <c r="AI325" s="99">
        <f t="shared" si="250"/>
        <v>0.99914599999999987</v>
      </c>
      <c r="AJ325" s="99" t="e">
        <f t="shared" ca="1" si="278"/>
        <v>#N/A</v>
      </c>
      <c r="AK325" s="161" t="e">
        <f t="shared" ca="1" si="251"/>
        <v>#N/A</v>
      </c>
      <c r="AL325" s="286" t="e">
        <f t="shared" ca="1" si="279"/>
        <v>#N/A</v>
      </c>
      <c r="AM325" s="285">
        <f t="shared" si="280"/>
        <v>2.2466465862100481E-4</v>
      </c>
      <c r="AN325" s="99">
        <f t="shared" si="281"/>
        <v>2.2499999999999999E-4</v>
      </c>
      <c r="AO325" s="99">
        <f t="shared" si="252"/>
        <v>0.99915600000000016</v>
      </c>
      <c r="AP325" s="99" t="e">
        <f t="shared" ca="1" si="282"/>
        <v>#N/A</v>
      </c>
      <c r="AQ325" s="161" t="e">
        <f t="shared" ca="1" si="253"/>
        <v>#N/A</v>
      </c>
      <c r="AR325" s="286" t="e">
        <f t="shared" ca="1" si="283"/>
        <v>#N/A</v>
      </c>
      <c r="AS325" s="285">
        <f t="shared" si="284"/>
        <v>7.1258822412456388E-5</v>
      </c>
      <c r="AT325" s="99">
        <f t="shared" si="285"/>
        <v>7.1000000000000005E-5</v>
      </c>
      <c r="AU325" s="99">
        <f t="shared" si="254"/>
        <v>0.9997370000000001</v>
      </c>
      <c r="AV325" s="99" t="e">
        <f t="shared" ca="1" si="286"/>
        <v>#N/A</v>
      </c>
      <c r="AW325" s="161" t="e">
        <f t="shared" ca="1" si="255"/>
        <v>#N/A</v>
      </c>
      <c r="AX325" s="286" t="e">
        <f t="shared" ca="1" si="287"/>
        <v>#N/A</v>
      </c>
    </row>
    <row r="326" spans="2:87" x14ac:dyDescent="0.25">
      <c r="B326" s="104">
        <f t="shared" si="244"/>
        <v>55</v>
      </c>
      <c r="C326" s="94">
        <v>56</v>
      </c>
      <c r="D326" s="94">
        <f t="shared" si="259"/>
        <v>2.7958181127500828E-5</v>
      </c>
      <c r="E326" s="94">
        <f t="shared" si="260"/>
        <v>2.8E-5</v>
      </c>
      <c r="F326" s="94">
        <f t="shared" si="240"/>
        <v>0.99991700000000017</v>
      </c>
      <c r="G326" s="94" t="e">
        <f t="shared" ca="1" si="261"/>
        <v>#N/A</v>
      </c>
      <c r="H326" s="94" t="e">
        <f t="shared" ca="1" si="262"/>
        <v>#N/A</v>
      </c>
      <c r="I326" s="161" t="e">
        <f t="shared" ca="1" si="258"/>
        <v>#N/A</v>
      </c>
      <c r="J326" s="156" t="e">
        <f t="shared" ca="1" si="256"/>
        <v>#N/A</v>
      </c>
      <c r="K326" s="160" t="e">
        <f t="shared" ca="1" si="241"/>
        <v>#N/A</v>
      </c>
      <c r="L326" s="101" t="e">
        <f t="shared" ca="1" si="263"/>
        <v>#N/A</v>
      </c>
      <c r="M326" s="101" t="e">
        <f t="shared" ca="1" si="264"/>
        <v>#N/A</v>
      </c>
      <c r="N326" s="101" t="e">
        <f t="shared" ca="1" si="242"/>
        <v>#N/A</v>
      </c>
      <c r="O326" s="285">
        <f t="shared" si="265"/>
        <v>2.7958181127500828E-5</v>
      </c>
      <c r="P326" s="99">
        <f t="shared" si="266"/>
        <v>2.8E-5</v>
      </c>
      <c r="Q326" s="99">
        <f t="shared" si="245"/>
        <v>0.99991700000000017</v>
      </c>
      <c r="R326" s="99" t="e">
        <f t="shared" ca="1" si="267"/>
        <v>#N/A</v>
      </c>
      <c r="S326" s="161" t="e">
        <f t="shared" ca="1" si="246"/>
        <v>#N/A</v>
      </c>
      <c r="T326" s="286" t="e">
        <f t="shared" ca="1" si="268"/>
        <v>#N/A</v>
      </c>
      <c r="U326" s="285">
        <f t="shared" si="269"/>
        <v>1.0117423126070088E-7</v>
      </c>
      <c r="V326" s="99">
        <f t="shared" si="288"/>
        <v>9.9999999999999995E-7</v>
      </c>
      <c r="W326" s="99">
        <f t="shared" si="247"/>
        <v>1.0000079999999993</v>
      </c>
      <c r="X326" s="99" t="e">
        <f t="shared" ca="1" si="270"/>
        <v>#N/A</v>
      </c>
      <c r="Y326" s="161" t="e">
        <f t="shared" ca="1" si="257"/>
        <v>#N/A</v>
      </c>
      <c r="Z326" s="286" t="e">
        <f t="shared" ca="1" si="271"/>
        <v>#N/A</v>
      </c>
      <c r="AA326" s="285">
        <f t="shared" si="272"/>
        <v>9.5644593906402846E-4</v>
      </c>
      <c r="AB326" s="99">
        <f t="shared" si="273"/>
        <v>9.7000000000000005E-4</v>
      </c>
      <c r="AC326" s="99">
        <f t="shared" si="248"/>
        <v>0.99668699999999999</v>
      </c>
      <c r="AD326" s="99" t="e">
        <f t="shared" ca="1" si="274"/>
        <v>#N/A</v>
      </c>
      <c r="AE326" s="161" t="e">
        <f t="shared" ca="1" si="249"/>
        <v>#N/A</v>
      </c>
      <c r="AF326" s="286" t="e">
        <f t="shared" ca="1" si="275"/>
        <v>#N/A</v>
      </c>
      <c r="AG326" s="285">
        <f t="shared" si="276"/>
        <v>2.0336623320436675E-4</v>
      </c>
      <c r="AH326" s="99">
        <f t="shared" si="277"/>
        <v>2.04E-4</v>
      </c>
      <c r="AI326" s="99">
        <f t="shared" si="250"/>
        <v>0.99934999999999985</v>
      </c>
      <c r="AJ326" s="99" t="e">
        <f t="shared" ca="1" si="278"/>
        <v>#N/A</v>
      </c>
      <c r="AK326" s="161" t="e">
        <f t="shared" ca="1" si="251"/>
        <v>#N/A</v>
      </c>
      <c r="AL326" s="286" t="e">
        <f t="shared" ca="1" si="279"/>
        <v>#N/A</v>
      </c>
      <c r="AM326" s="285">
        <f t="shared" si="280"/>
        <v>2.031927748210877E-4</v>
      </c>
      <c r="AN326" s="99">
        <f t="shared" si="281"/>
        <v>2.04E-4</v>
      </c>
      <c r="AO326" s="99">
        <f t="shared" si="252"/>
        <v>0.99936000000000014</v>
      </c>
      <c r="AP326" s="99" t="e">
        <f t="shared" ca="1" si="282"/>
        <v>#N/A</v>
      </c>
      <c r="AQ326" s="161" t="e">
        <f t="shared" ca="1" si="253"/>
        <v>#N/A</v>
      </c>
      <c r="AR326" s="286" t="e">
        <f t="shared" ca="1" si="283"/>
        <v>#N/A</v>
      </c>
      <c r="AS326" s="285">
        <f t="shared" si="284"/>
        <v>6.3920153479910528E-5</v>
      </c>
      <c r="AT326" s="99">
        <f t="shared" si="285"/>
        <v>6.3999999999999997E-5</v>
      </c>
      <c r="AU326" s="99">
        <f t="shared" si="254"/>
        <v>0.99980100000000005</v>
      </c>
      <c r="AV326" s="99" t="e">
        <f t="shared" ca="1" si="286"/>
        <v>#N/A</v>
      </c>
      <c r="AW326" s="161" t="e">
        <f t="shared" ca="1" si="255"/>
        <v>#N/A</v>
      </c>
      <c r="AX326" s="286" t="e">
        <f t="shared" ca="1" si="287"/>
        <v>#N/A</v>
      </c>
      <c r="BA326" s="92"/>
    </row>
    <row r="327" spans="2:87" x14ac:dyDescent="0.25">
      <c r="B327" s="104">
        <f t="shared" si="244"/>
        <v>56</v>
      </c>
      <c r="C327" s="94">
        <v>57</v>
      </c>
      <c r="D327" s="94">
        <f t="shared" si="259"/>
        <v>2.479767461075207E-5</v>
      </c>
      <c r="E327" s="94">
        <f t="shared" si="260"/>
        <v>2.5000000000000001E-5</v>
      </c>
      <c r="F327" s="94">
        <f t="shared" si="240"/>
        <v>0.99994200000000022</v>
      </c>
      <c r="G327" s="94" t="e">
        <f t="shared" ca="1" si="261"/>
        <v>#N/A</v>
      </c>
      <c r="H327" s="94" t="e">
        <f t="shared" ca="1" si="262"/>
        <v>#N/A</v>
      </c>
      <c r="I327" s="161" t="e">
        <f t="shared" ca="1" si="258"/>
        <v>#N/A</v>
      </c>
      <c r="J327" s="156" t="e">
        <f t="shared" ca="1" si="256"/>
        <v>#N/A</v>
      </c>
      <c r="K327" s="160" t="e">
        <f t="shared" ca="1" si="241"/>
        <v>#N/A</v>
      </c>
      <c r="L327" s="101" t="e">
        <f t="shared" ca="1" si="263"/>
        <v>#N/A</v>
      </c>
      <c r="M327" s="101" t="e">
        <f t="shared" ca="1" si="264"/>
        <v>#N/A</v>
      </c>
      <c r="N327" s="101" t="e">
        <f t="shared" ca="1" si="242"/>
        <v>#N/A</v>
      </c>
      <c r="O327" s="285">
        <f t="shared" si="265"/>
        <v>2.479767461075207E-5</v>
      </c>
      <c r="P327" s="99">
        <f t="shared" si="266"/>
        <v>2.5000000000000001E-5</v>
      </c>
      <c r="Q327" s="99">
        <f t="shared" si="245"/>
        <v>0.99994200000000022</v>
      </c>
      <c r="R327" s="99" t="e">
        <f t="shared" ca="1" si="267"/>
        <v>#N/A</v>
      </c>
      <c r="S327" s="161" t="e">
        <f t="shared" ca="1" si="246"/>
        <v>#N/A</v>
      </c>
      <c r="T327" s="286" t="e">
        <f t="shared" ca="1" si="268"/>
        <v>#N/A</v>
      </c>
      <c r="U327" s="285">
        <f t="shared" si="269"/>
        <v>8.3446629643467673E-8</v>
      </c>
      <c r="V327" s="99">
        <f t="shared" si="288"/>
        <v>9.9999999999999995E-7</v>
      </c>
      <c r="W327" s="99">
        <f t="shared" si="247"/>
        <v>1.0000089999999993</v>
      </c>
      <c r="X327" s="99" t="e">
        <f t="shared" ca="1" si="270"/>
        <v>#N/A</v>
      </c>
      <c r="Y327" s="161" t="e">
        <f t="shared" ca="1" si="257"/>
        <v>#N/A</v>
      </c>
      <c r="Z327" s="286" t="e">
        <f t="shared" ca="1" si="271"/>
        <v>#N/A</v>
      </c>
      <c r="AA327" s="285">
        <f t="shared" si="272"/>
        <v>8.9667004164064603E-4</v>
      </c>
      <c r="AB327" s="99">
        <f t="shared" si="273"/>
        <v>9.0899999999999998E-4</v>
      </c>
      <c r="AC327" s="99">
        <f t="shared" si="248"/>
        <v>0.99759600000000004</v>
      </c>
      <c r="AD327" s="99" t="e">
        <f t="shared" ca="1" si="274"/>
        <v>#N/A</v>
      </c>
      <c r="AE327" s="161" t="e">
        <f t="shared" ca="1" si="249"/>
        <v>#N/A</v>
      </c>
      <c r="AF327" s="286" t="e">
        <f t="shared" ca="1" si="275"/>
        <v>#N/A</v>
      </c>
      <c r="AG327" s="285">
        <f t="shared" si="276"/>
        <v>1.849920260193335E-4</v>
      </c>
      <c r="AH327" s="99">
        <f t="shared" si="277"/>
        <v>1.85E-4</v>
      </c>
      <c r="AI327" s="99">
        <f t="shared" si="250"/>
        <v>0.99953499999999984</v>
      </c>
      <c r="AJ327" s="99" t="e">
        <f t="shared" ca="1" si="278"/>
        <v>#N/A</v>
      </c>
      <c r="AK327" s="161" t="e">
        <f t="shared" ca="1" si="251"/>
        <v>#N/A</v>
      </c>
      <c r="AL327" s="286" t="e">
        <f t="shared" ca="1" si="279"/>
        <v>#N/A</v>
      </c>
      <c r="AM327" s="285">
        <f t="shared" si="280"/>
        <v>1.8394776337763401E-4</v>
      </c>
      <c r="AN327" s="99">
        <f t="shared" si="281"/>
        <v>1.84E-4</v>
      </c>
      <c r="AO327" s="99">
        <f t="shared" si="252"/>
        <v>0.9995440000000001</v>
      </c>
      <c r="AP327" s="99" t="e">
        <f t="shared" ca="1" si="282"/>
        <v>#N/A</v>
      </c>
      <c r="AQ327" s="161" t="e">
        <f t="shared" ca="1" si="253"/>
        <v>#N/A</v>
      </c>
      <c r="AR327" s="286" t="e">
        <f t="shared" ca="1" si="283"/>
        <v>#N/A</v>
      </c>
      <c r="AS327" s="285">
        <f t="shared" si="284"/>
        <v>5.7402796463932266E-5</v>
      </c>
      <c r="AT327" s="99">
        <f t="shared" si="285"/>
        <v>5.7000000000000003E-5</v>
      </c>
      <c r="AU327" s="99">
        <f t="shared" si="254"/>
        <v>0.99985800000000002</v>
      </c>
      <c r="AV327" s="99" t="e">
        <f t="shared" ca="1" si="286"/>
        <v>#N/A</v>
      </c>
      <c r="AW327" s="161" t="e">
        <f t="shared" ca="1" si="255"/>
        <v>#N/A</v>
      </c>
      <c r="AX327" s="286" t="e">
        <f t="shared" ca="1" si="287"/>
        <v>#N/A</v>
      </c>
    </row>
    <row r="328" spans="2:87" x14ac:dyDescent="0.25">
      <c r="B328" s="104">
        <f t="shared" si="244"/>
        <v>57</v>
      </c>
      <c r="C328" s="94">
        <v>58</v>
      </c>
      <c r="D328" s="94">
        <f t="shared" si="259"/>
        <v>2.202197231782269E-5</v>
      </c>
      <c r="E328" s="94">
        <f t="shared" si="260"/>
        <v>2.1999999999999999E-5</v>
      </c>
      <c r="F328" s="94">
        <f t="shared" si="240"/>
        <v>0.99996400000000019</v>
      </c>
      <c r="G328" s="94" t="e">
        <f t="shared" ca="1" si="261"/>
        <v>#N/A</v>
      </c>
      <c r="H328" s="94" t="e">
        <f t="shared" ca="1" si="262"/>
        <v>#N/A</v>
      </c>
      <c r="I328" s="161" t="e">
        <f t="shared" ca="1" si="258"/>
        <v>#N/A</v>
      </c>
      <c r="J328" s="156" t="e">
        <f t="shared" ca="1" si="256"/>
        <v>#N/A</v>
      </c>
      <c r="K328" s="160" t="e">
        <f t="shared" ca="1" si="241"/>
        <v>#N/A</v>
      </c>
      <c r="L328" s="101" t="e">
        <f t="shared" ca="1" si="263"/>
        <v>#N/A</v>
      </c>
      <c r="M328" s="101" t="e">
        <f t="shared" ca="1" si="264"/>
        <v>#N/A</v>
      </c>
      <c r="N328" s="101" t="e">
        <f t="shared" ca="1" si="242"/>
        <v>#N/A</v>
      </c>
      <c r="O328" s="285">
        <f t="shared" si="265"/>
        <v>2.202197231782269E-5</v>
      </c>
      <c r="P328" s="99">
        <f t="shared" si="266"/>
        <v>2.1999999999999999E-5</v>
      </c>
      <c r="Q328" s="99">
        <f t="shared" si="245"/>
        <v>0.99996400000000019</v>
      </c>
      <c r="R328" s="99" t="e">
        <f t="shared" ca="1" si="267"/>
        <v>#N/A</v>
      </c>
      <c r="S328" s="161" t="e">
        <f t="shared" ca="1" si="246"/>
        <v>#N/A</v>
      </c>
      <c r="T328" s="286" t="e">
        <f t="shared" ca="1" si="268"/>
        <v>#N/A</v>
      </c>
      <c r="U328" s="285">
        <f t="shared" si="269"/>
        <v>6.897015641193863E-8</v>
      </c>
      <c r="V328" s="99">
        <f t="shared" si="288"/>
        <v>9.9999999999999995E-7</v>
      </c>
      <c r="W328" s="99">
        <f t="shared" si="247"/>
        <v>1.0000099999999992</v>
      </c>
      <c r="X328" s="99" t="e">
        <f t="shared" ca="1" si="270"/>
        <v>#N/A</v>
      </c>
      <c r="Y328" s="161" t="e">
        <f t="shared" ca="1" si="257"/>
        <v>#N/A</v>
      </c>
      <c r="Z328" s="286" t="e">
        <f t="shared" ca="1" si="271"/>
        <v>#N/A</v>
      </c>
      <c r="AA328" s="285">
        <f t="shared" si="272"/>
        <v>8.4117492642657497E-4</v>
      </c>
      <c r="AB328" s="99">
        <f t="shared" si="273"/>
        <v>8.5300000000000003E-4</v>
      </c>
      <c r="AC328" s="99">
        <f t="shared" si="248"/>
        <v>0.99844900000000003</v>
      </c>
      <c r="AD328" s="99" t="e">
        <f t="shared" ca="1" si="274"/>
        <v>#N/A</v>
      </c>
      <c r="AE328" s="161" t="e">
        <f t="shared" ca="1" si="249"/>
        <v>#N/A</v>
      </c>
      <c r="AF328" s="286" t="e">
        <f t="shared" ca="1" si="275"/>
        <v>#N/A</v>
      </c>
      <c r="AG328" s="285">
        <f t="shared" si="276"/>
        <v>1.6843436147722917E-4</v>
      </c>
      <c r="AH328" s="99">
        <f t="shared" si="277"/>
        <v>1.6899999999999999E-4</v>
      </c>
      <c r="AI328" s="99">
        <f t="shared" si="250"/>
        <v>0.99970399999999981</v>
      </c>
      <c r="AJ328" s="99" t="e">
        <f t="shared" ca="1" si="278"/>
        <v>#N/A</v>
      </c>
      <c r="AK328" s="161" t="e">
        <f t="shared" ca="1" si="251"/>
        <v>#N/A</v>
      </c>
      <c r="AL328" s="286" t="e">
        <f t="shared" ca="1" si="279"/>
        <v>#N/A</v>
      </c>
      <c r="AM328" s="285">
        <f t="shared" si="280"/>
        <v>1.666807136390123E-4</v>
      </c>
      <c r="AN328" s="99">
        <f t="shared" si="281"/>
        <v>1.6699999999999999E-4</v>
      </c>
      <c r="AO328" s="99">
        <f t="shared" si="252"/>
        <v>0.99971100000000013</v>
      </c>
      <c r="AP328" s="99" t="e">
        <f t="shared" ca="1" si="282"/>
        <v>#N/A</v>
      </c>
      <c r="AQ328" s="161" t="e">
        <f t="shared" ca="1" si="253"/>
        <v>#N/A</v>
      </c>
      <c r="AR328" s="286" t="e">
        <f t="shared" ca="1" si="283"/>
        <v>#N/A</v>
      </c>
      <c r="AS328" s="285">
        <f t="shared" si="284"/>
        <v>5.1607516479629392E-5</v>
      </c>
      <c r="AT328" s="99">
        <f t="shared" si="285"/>
        <v>5.1999999999999997E-5</v>
      </c>
      <c r="AU328" s="99">
        <f t="shared" si="254"/>
        <v>0.99991000000000008</v>
      </c>
      <c r="AV328" s="99" t="e">
        <f t="shared" ca="1" si="286"/>
        <v>#N/A</v>
      </c>
      <c r="AW328" s="161" t="e">
        <f t="shared" ca="1" si="255"/>
        <v>#N/A</v>
      </c>
      <c r="AX328" s="286" t="e">
        <f t="shared" ca="1" si="287"/>
        <v>#N/A</v>
      </c>
    </row>
    <row r="329" spans="2:87" x14ac:dyDescent="0.25">
      <c r="B329" s="104">
        <f t="shared" si="244"/>
        <v>58</v>
      </c>
      <c r="C329" s="94">
        <v>59</v>
      </c>
      <c r="D329" s="94">
        <f t="shared" si="259"/>
        <v>1.9580882357042509E-5</v>
      </c>
      <c r="E329" s="94">
        <f t="shared" si="260"/>
        <v>2.0000000000000002E-5</v>
      </c>
      <c r="F329" s="94">
        <f t="shared" si="240"/>
        <v>0.99998400000000021</v>
      </c>
      <c r="G329" s="94" t="e">
        <f t="shared" ca="1" si="261"/>
        <v>#N/A</v>
      </c>
      <c r="H329" s="94" t="e">
        <f t="shared" ca="1" si="262"/>
        <v>#N/A</v>
      </c>
      <c r="I329" s="161" t="e">
        <f t="shared" ca="1" si="258"/>
        <v>#N/A</v>
      </c>
      <c r="J329" s="156" t="e">
        <f t="shared" ca="1" si="256"/>
        <v>#N/A</v>
      </c>
      <c r="K329" s="160" t="e">
        <f t="shared" ca="1" si="241"/>
        <v>#N/A</v>
      </c>
      <c r="L329" s="101" t="e">
        <f t="shared" ca="1" si="263"/>
        <v>#N/A</v>
      </c>
      <c r="M329" s="101" t="e">
        <f t="shared" ca="1" si="264"/>
        <v>#N/A</v>
      </c>
      <c r="N329" s="101" t="e">
        <f t="shared" ca="1" si="242"/>
        <v>#N/A</v>
      </c>
      <c r="O329" s="285">
        <f t="shared" si="265"/>
        <v>1.9580882357042509E-5</v>
      </c>
      <c r="P329" s="99">
        <f t="shared" si="266"/>
        <v>2.0000000000000002E-5</v>
      </c>
      <c r="Q329" s="99">
        <f t="shared" si="245"/>
        <v>0.99998400000000021</v>
      </c>
      <c r="R329" s="99" t="e">
        <f t="shared" ca="1" si="267"/>
        <v>#N/A</v>
      </c>
      <c r="S329" s="161" t="e">
        <f t="shared" ca="1" si="246"/>
        <v>#N/A</v>
      </c>
      <c r="T329" s="286" t="e">
        <f t="shared" ca="1" si="268"/>
        <v>#N/A</v>
      </c>
      <c r="U329" s="285">
        <f t="shared" si="269"/>
        <v>5.7122221505864575E-8</v>
      </c>
      <c r="V329" s="99">
        <f t="shared" si="288"/>
        <v>9.9999999999999995E-7</v>
      </c>
      <c r="W329" s="99">
        <f t="shared" si="247"/>
        <v>1.0000109999999991</v>
      </c>
      <c r="X329" s="99" t="e">
        <f t="shared" ca="1" si="270"/>
        <v>#N/A</v>
      </c>
      <c r="Y329" s="161" t="e">
        <f t="shared" ca="1" si="257"/>
        <v>#N/A</v>
      </c>
      <c r="Z329" s="286" t="e">
        <f t="shared" ca="1" si="271"/>
        <v>#N/A</v>
      </c>
      <c r="AA329" s="285">
        <f t="shared" si="272"/>
        <v>7.896147899609543E-4</v>
      </c>
      <c r="AB329" s="99">
        <f t="shared" si="273"/>
        <v>8.0000000000000004E-4</v>
      </c>
      <c r="AC329" s="99">
        <f t="shared" si="248"/>
        <v>0.99924900000000005</v>
      </c>
      <c r="AD329" s="99" t="e">
        <f t="shared" ca="1" si="274"/>
        <v>#N/A</v>
      </c>
      <c r="AE329" s="161" t="e">
        <f t="shared" ca="1" si="249"/>
        <v>#N/A</v>
      </c>
      <c r="AF329" s="286" t="e">
        <f t="shared" ca="1" si="275"/>
        <v>#N/A</v>
      </c>
      <c r="AG329" s="285">
        <f t="shared" si="276"/>
        <v>1.5349823602953306E-4</v>
      </c>
      <c r="AH329" s="99">
        <f t="shared" si="277"/>
        <v>1.54E-4</v>
      </c>
      <c r="AI329" s="99">
        <f t="shared" si="250"/>
        <v>0.9998579999999998</v>
      </c>
      <c r="AJ329" s="99" t="e">
        <f t="shared" ca="1" si="278"/>
        <v>#N/A</v>
      </c>
      <c r="AK329" s="161" t="e">
        <f t="shared" ca="1" si="251"/>
        <v>#N/A</v>
      </c>
      <c r="AL329" s="286" t="e">
        <f t="shared" ca="1" si="279"/>
        <v>#N/A</v>
      </c>
      <c r="AM329" s="285">
        <f t="shared" si="280"/>
        <v>1.5117251141747649E-4</v>
      </c>
      <c r="AN329" s="99">
        <f t="shared" si="281"/>
        <v>1.5100000000000001E-4</v>
      </c>
      <c r="AO329" s="99">
        <f t="shared" si="252"/>
        <v>0.99986200000000014</v>
      </c>
      <c r="AP329" s="99" t="e">
        <f t="shared" ca="1" si="282"/>
        <v>#N/A</v>
      </c>
      <c r="AQ329" s="161" t="e">
        <f t="shared" ca="1" si="253"/>
        <v>#N/A</v>
      </c>
      <c r="AR329" s="286" t="e">
        <f t="shared" ca="1" si="283"/>
        <v>#N/A</v>
      </c>
      <c r="AS329" s="285">
        <f t="shared" si="284"/>
        <v>4.6447946700704948E-5</v>
      </c>
      <c r="AT329" s="99">
        <f t="shared" si="285"/>
        <v>4.6E-5</v>
      </c>
      <c r="AU329" s="99">
        <f t="shared" si="254"/>
        <v>0.99995600000000007</v>
      </c>
      <c r="AV329" s="99" t="e">
        <f t="shared" ca="1" si="286"/>
        <v>#N/A</v>
      </c>
      <c r="AW329" s="161" t="e">
        <f t="shared" ca="1" si="255"/>
        <v>#N/A</v>
      </c>
      <c r="AX329" s="286" t="e">
        <f t="shared" ca="1" si="287"/>
        <v>#N/A</v>
      </c>
    </row>
    <row r="330" spans="2:87" x14ac:dyDescent="0.25">
      <c r="B330" s="104">
        <f t="shared" si="244"/>
        <v>59</v>
      </c>
      <c r="C330" s="94">
        <v>60</v>
      </c>
      <c r="D330" s="94">
        <f t="shared" si="259"/>
        <v>1.7431192279950344E-5</v>
      </c>
      <c r="E330" s="94">
        <f t="shared" si="260"/>
        <v>1.7E-5</v>
      </c>
      <c r="F330" s="94">
        <f t="shared" si="240"/>
        <v>1.0000010000000001</v>
      </c>
      <c r="G330" s="94" t="e">
        <f t="shared" ca="1" si="261"/>
        <v>#N/A</v>
      </c>
      <c r="H330" s="94" t="e">
        <f t="shared" ca="1" si="262"/>
        <v>#N/A</v>
      </c>
      <c r="I330" s="161" t="e">
        <f ca="1">IF((NOT(J330="n/a")),J330,ROUND(G330+I329,0))</f>
        <v>#N/A</v>
      </c>
      <c r="J330" s="156" t="e">
        <f t="shared" ca="1" si="256"/>
        <v>#N/A</v>
      </c>
      <c r="K330" s="160" t="e">
        <f t="shared" ca="1" si="241"/>
        <v>#N/A</v>
      </c>
      <c r="L330" s="101" t="e">
        <f t="shared" ca="1" si="263"/>
        <v>#N/A</v>
      </c>
      <c r="M330" s="101" t="e">
        <f t="shared" ca="1" si="264"/>
        <v>#N/A</v>
      </c>
      <c r="N330" s="101" t="e">
        <f t="shared" ca="1" si="242"/>
        <v>#N/A</v>
      </c>
      <c r="O330" s="285">
        <f t="shared" si="265"/>
        <v>1.7431192279950344E-5</v>
      </c>
      <c r="P330" s="99">
        <f t="shared" si="266"/>
        <v>1.7E-5</v>
      </c>
      <c r="Q330" s="99">
        <f t="shared" si="245"/>
        <v>1.0000010000000001</v>
      </c>
      <c r="R330" s="99" t="e">
        <f t="shared" ca="1" si="267"/>
        <v>#N/A</v>
      </c>
      <c r="S330" s="161" t="e">
        <f t="shared" ca="1" si="246"/>
        <v>#N/A</v>
      </c>
      <c r="T330" s="286" t="e">
        <f t="shared" ca="1" si="268"/>
        <v>#N/A</v>
      </c>
      <c r="U330" s="285">
        <f t="shared" si="269"/>
        <v>4.7404458006887198E-8</v>
      </c>
      <c r="V330" s="99">
        <f t="shared" si="288"/>
        <v>9.9999999999999995E-7</v>
      </c>
      <c r="W330" s="99">
        <f t="shared" si="247"/>
        <v>1.000011999999999</v>
      </c>
      <c r="X330" s="99" t="e">
        <f t="shared" ca="1" si="270"/>
        <v>#N/A</v>
      </c>
      <c r="Y330" s="161" t="e">
        <f t="shared" ca="1" si="257"/>
        <v>#N/A</v>
      </c>
      <c r="Z330" s="286" t="e">
        <f t="shared" ca="1" si="271"/>
        <v>#N/A</v>
      </c>
      <c r="AA330" s="285">
        <f t="shared" si="272"/>
        <v>7.4167491262876043E-4</v>
      </c>
      <c r="AB330" s="99">
        <f t="shared" si="273"/>
        <v>7.5199999999999996E-4</v>
      </c>
      <c r="AC330" s="99">
        <f t="shared" si="248"/>
        <v>1.0000010000000001</v>
      </c>
      <c r="AD330" s="99" t="e">
        <f t="shared" ca="1" si="274"/>
        <v>#N/A</v>
      </c>
      <c r="AE330" s="161" t="e">
        <f t="shared" ca="1" si="249"/>
        <v>#N/A</v>
      </c>
      <c r="AF330" s="286" t="e">
        <f t="shared" ca="1" si="275"/>
        <v>#N/A</v>
      </c>
      <c r="AG330" s="285">
        <f t="shared" si="276"/>
        <v>1.4001121766061696E-4</v>
      </c>
      <c r="AH330" s="99">
        <f t="shared" si="277"/>
        <v>1.3999999999999999E-4</v>
      </c>
      <c r="AI330" s="99">
        <f t="shared" si="250"/>
        <v>0.99999799999999983</v>
      </c>
      <c r="AJ330" s="99" t="e">
        <f t="shared" ca="1" si="278"/>
        <v>#N/A</v>
      </c>
      <c r="AK330" s="161" t="e">
        <f t="shared" ca="1" si="251"/>
        <v>#N/A</v>
      </c>
      <c r="AL330" s="286" t="e">
        <f t="shared" ca="1" si="279"/>
        <v>#N/A</v>
      </c>
      <c r="AM330" s="285">
        <f t="shared" si="280"/>
        <v>1.3723004163852221E-4</v>
      </c>
      <c r="AN330" s="99">
        <f t="shared" si="281"/>
        <v>1.37E-4</v>
      </c>
      <c r="AO330" s="99">
        <f t="shared" si="252"/>
        <v>0.99999900000000019</v>
      </c>
      <c r="AP330" s="99" t="e">
        <f t="shared" ca="1" si="282"/>
        <v>#N/A</v>
      </c>
      <c r="AQ330" s="161" t="e">
        <f t="shared" ca="1" si="253"/>
        <v>#N/A</v>
      </c>
      <c r="AR330" s="286" t="e">
        <f t="shared" ca="1" si="283"/>
        <v>#N/A</v>
      </c>
      <c r="AS330" s="285">
        <f t="shared" si="284"/>
        <v>4.1848807132974609E-5</v>
      </c>
      <c r="AT330" s="99">
        <f t="shared" si="285"/>
        <v>4.1999999999999998E-5</v>
      </c>
      <c r="AU330" s="99">
        <f t="shared" si="254"/>
        <v>0.99999800000000005</v>
      </c>
      <c r="AV330" s="99" t="e">
        <f t="shared" ca="1" si="286"/>
        <v>#N/A</v>
      </c>
      <c r="AW330" s="161" t="e">
        <f t="shared" ca="1" si="255"/>
        <v>#N/A</v>
      </c>
      <c r="AX330" s="286" t="e">
        <f t="shared" ca="1" si="287"/>
        <v>#N/A</v>
      </c>
    </row>
    <row r="331" spans="2:87" x14ac:dyDescent="0.25">
      <c r="C331" s="94" t="s">
        <v>126</v>
      </c>
      <c r="D331" s="93">
        <f>SUM(D271:D330)</f>
        <v>0.99972970320913224</v>
      </c>
      <c r="G331" s="94" t="e">
        <f ca="1">SUM(G271:G330)</f>
        <v>#N/A</v>
      </c>
      <c r="J331" s="103" t="e">
        <f ca="1">MAX(J271:J330)</f>
        <v>#N/A</v>
      </c>
      <c r="K331" s="160" t="e">
        <f ca="1">LOOKUP((MAX(J271:J330)),J271:J330,K271:K330)</f>
        <v>#N/A</v>
      </c>
      <c r="N331" s="94" t="e">
        <f ca="1">IF(H331&gt;0,H331,(ROUND((G331*4),0)))</f>
        <v>#N/A</v>
      </c>
      <c r="O331" s="287">
        <f>SUM(O271:O330)</f>
        <v>0.99972970320913224</v>
      </c>
      <c r="P331" s="288"/>
      <c r="Q331" s="288"/>
      <c r="R331" s="288"/>
      <c r="S331" s="288"/>
      <c r="T331" s="289" t="e">
        <f ca="1">LOOKUP((MAX($J271:$J330)),$J271:$J330,T271:T330)</f>
        <v>#N/A</v>
      </c>
      <c r="U331" s="287">
        <f>SUM(U271:U330)</f>
        <v>0.99980758476711529</v>
      </c>
      <c r="V331" s="288"/>
      <c r="W331" s="288"/>
      <c r="X331" s="288"/>
      <c r="Y331" s="288"/>
      <c r="Z331" s="289" t="e">
        <f ca="1">LOOKUP((MAX($J271:$J330)),$J271:$J330,Z271:Z330)</f>
        <v>#N/A</v>
      </c>
      <c r="AA331" s="287">
        <f>SUM(AA271:AA330)</f>
        <v>0.98653072812546672</v>
      </c>
      <c r="AB331" s="288"/>
      <c r="AC331" s="288"/>
      <c r="AD331" s="288"/>
      <c r="AE331" s="288"/>
      <c r="AF331" s="289" t="e">
        <f ca="1">LOOKUP((MAX($J271:$J330)),$J271:$J330,AF271:AF330)</f>
        <v>#N/A</v>
      </c>
      <c r="AG331" s="287">
        <f>SUM(AG271:AG330)</f>
        <v>0.99832172364385963</v>
      </c>
      <c r="AH331" s="288"/>
      <c r="AI331" s="288"/>
      <c r="AJ331" s="288"/>
      <c r="AK331" s="288"/>
      <c r="AL331" s="289" t="e">
        <f ca="1">LOOKUP((MAX($J271:$J330)),$J271:$J330,AL271:AL330)</f>
        <v>#N/A</v>
      </c>
      <c r="AM331" s="287">
        <f>SUM(AM271:AM330)</f>
        <v>0.9984740419774214</v>
      </c>
      <c r="AN331" s="288"/>
      <c r="AO331" s="288"/>
      <c r="AP331" s="288"/>
      <c r="AQ331" s="288"/>
      <c r="AR331" s="289" t="e">
        <f ca="1">LOOKUP((MAX($J271:$J330)),$J271:$J330,AR271:AR330)</f>
        <v>#N/A</v>
      </c>
      <c r="AS331" s="287">
        <f>SUM(AS271:AS330)</f>
        <v>0.99949605413856346</v>
      </c>
      <c r="AT331" s="288"/>
      <c r="AU331" s="288"/>
      <c r="AV331" s="288"/>
      <c r="AW331" s="288"/>
      <c r="AX331" s="289" t="e">
        <f ca="1">LOOKUP((MAX($J271:$J330)),$J271:$J330,AX271:AX330)</f>
        <v>#N/A</v>
      </c>
    </row>
    <row r="332" spans="2:87" s="724" customFormat="1" ht="13.8" thickBot="1" x14ac:dyDescent="0.3">
      <c r="I332" s="725"/>
      <c r="K332" s="727"/>
      <c r="O332" s="727"/>
      <c r="P332" s="727"/>
      <c r="Q332" s="727"/>
      <c r="R332" s="727"/>
      <c r="S332" s="727"/>
      <c r="T332" s="727"/>
      <c r="U332" s="727"/>
      <c r="V332" s="727"/>
      <c r="W332" s="727"/>
      <c r="X332" s="727"/>
      <c r="Y332" s="727"/>
      <c r="Z332" s="727"/>
      <c r="AA332" s="727"/>
      <c r="AB332" s="727"/>
      <c r="AC332" s="727"/>
      <c r="AD332" s="727"/>
      <c r="AE332" s="727"/>
      <c r="AF332" s="727"/>
      <c r="AG332" s="727"/>
      <c r="AH332" s="727"/>
      <c r="AI332" s="727"/>
      <c r="AJ332" s="727"/>
      <c r="AK332" s="727"/>
      <c r="AL332" s="727"/>
      <c r="AM332" s="727"/>
      <c r="AN332" s="727"/>
      <c r="AO332" s="727"/>
      <c r="AP332" s="727"/>
      <c r="AQ332" s="727"/>
      <c r="AR332" s="727"/>
      <c r="AS332" s="727"/>
      <c r="AT332" s="727"/>
      <c r="AU332" s="727"/>
      <c r="AV332" s="727"/>
      <c r="AW332" s="727"/>
      <c r="AX332" s="727"/>
      <c r="CC332" s="728"/>
      <c r="CD332" s="729"/>
      <c r="CE332" s="729"/>
      <c r="CF332" s="730"/>
      <c r="CG332" s="729"/>
      <c r="CH332" s="731"/>
      <c r="CI332" s="732"/>
    </row>
    <row r="333" spans="2:87" ht="13.8" thickTop="1" x14ac:dyDescent="0.25">
      <c r="D333" s="104"/>
      <c r="E333" s="162"/>
    </row>
    <row r="334" spans="2:87" x14ac:dyDescent="0.25">
      <c r="B334" s="104">
        <f>$I$402</f>
        <v>0</v>
      </c>
      <c r="C334" s="94">
        <f t="shared" ref="C334:C365" si="289">E57</f>
        <v>7.2583254482819248E-4</v>
      </c>
      <c r="D334" s="162">
        <f>MAX($C$334:$C$393)</f>
        <v>0.11452250913387912</v>
      </c>
      <c r="E334" s="104" t="str">
        <f>IF(D334=C334,B334," ")</f>
        <v xml:space="preserve"> </v>
      </c>
    </row>
    <row r="335" spans="2:87" x14ac:dyDescent="0.25">
      <c r="B335" s="104">
        <f>B334+1</f>
        <v>1</v>
      </c>
      <c r="C335" s="94">
        <f t="shared" si="289"/>
        <v>2.0090082394347803E-2</v>
      </c>
      <c r="D335" s="162">
        <f t="shared" ref="D335:D365" si="290">MAX($C$334:$C$393)</f>
        <v>0.11452250913387912</v>
      </c>
      <c r="E335" s="104" t="str">
        <f t="shared" ref="E335:E393" si="291">IF(D335=C335,B335," ")</f>
        <v xml:space="preserve"> </v>
      </c>
    </row>
    <row r="336" spans="2:87" x14ac:dyDescent="0.25">
      <c r="B336" s="104">
        <f t="shared" ref="B336:B393" si="292">B335+1</f>
        <v>2</v>
      </c>
      <c r="C336" s="94">
        <f t="shared" si="289"/>
        <v>6.511702015300011E-2</v>
      </c>
      <c r="D336" s="162">
        <f t="shared" si="290"/>
        <v>0.11452250913387912</v>
      </c>
      <c r="E336" s="104" t="str">
        <f t="shared" si="291"/>
        <v xml:space="preserve"> </v>
      </c>
    </row>
    <row r="337" spans="2:5" x14ac:dyDescent="0.25">
      <c r="B337" s="104">
        <f t="shared" si="292"/>
        <v>3</v>
      </c>
      <c r="C337" s="94">
        <f t="shared" si="289"/>
        <v>0.10074977416995455</v>
      </c>
      <c r="D337" s="162">
        <f t="shared" si="290"/>
        <v>0.11452250913387912</v>
      </c>
      <c r="E337" s="104" t="str">
        <f t="shared" si="291"/>
        <v xml:space="preserve"> </v>
      </c>
    </row>
    <row r="338" spans="2:5" x14ac:dyDescent="0.25">
      <c r="B338" s="104">
        <f t="shared" si="292"/>
        <v>4</v>
      </c>
      <c r="C338" s="94">
        <f t="shared" si="289"/>
        <v>0.11452250913387912</v>
      </c>
      <c r="D338" s="162">
        <f t="shared" si="290"/>
        <v>0.11452250913387912</v>
      </c>
      <c r="E338" s="104">
        <f t="shared" si="291"/>
        <v>4</v>
      </c>
    </row>
    <row r="339" spans="2:5" x14ac:dyDescent="0.25">
      <c r="B339" s="104">
        <f t="shared" si="292"/>
        <v>5</v>
      </c>
      <c r="C339" s="94">
        <f t="shared" si="289"/>
        <v>0.1120270069243427</v>
      </c>
      <c r="D339" s="162">
        <f t="shared" si="290"/>
        <v>0.11452250913387912</v>
      </c>
      <c r="E339" s="104" t="str">
        <f t="shared" si="291"/>
        <v xml:space="preserve"> </v>
      </c>
    </row>
    <row r="340" spans="2:5" x14ac:dyDescent="0.25">
      <c r="B340" s="104">
        <f t="shared" si="292"/>
        <v>6</v>
      </c>
      <c r="C340" s="94">
        <f t="shared" si="289"/>
        <v>0.10106466111580764</v>
      </c>
      <c r="D340" s="162">
        <f t="shared" si="290"/>
        <v>0.11452250913387912</v>
      </c>
      <c r="E340" s="104" t="str">
        <f t="shared" si="291"/>
        <v xml:space="preserve"> </v>
      </c>
    </row>
    <row r="341" spans="2:5" x14ac:dyDescent="0.25">
      <c r="B341" s="104">
        <f t="shared" si="292"/>
        <v>7</v>
      </c>
      <c r="C341" s="94">
        <f t="shared" si="289"/>
        <v>8.7039434240700153E-2</v>
      </c>
      <c r="D341" s="162">
        <f t="shared" si="290"/>
        <v>0.11452250913387912</v>
      </c>
      <c r="E341" s="104" t="str">
        <f t="shared" si="291"/>
        <v xml:space="preserve"> </v>
      </c>
    </row>
    <row r="342" spans="2:5" x14ac:dyDescent="0.25">
      <c r="B342" s="104">
        <f t="shared" si="292"/>
        <v>8</v>
      </c>
      <c r="C342" s="94">
        <f t="shared" si="289"/>
        <v>7.2924937114623223E-2</v>
      </c>
      <c r="D342" s="162">
        <f t="shared" si="290"/>
        <v>0.11452250913387912</v>
      </c>
      <c r="E342" s="104" t="str">
        <f t="shared" si="291"/>
        <v xml:space="preserve"> </v>
      </c>
    </row>
    <row r="343" spans="2:5" x14ac:dyDescent="0.25">
      <c r="B343" s="104">
        <f t="shared" si="292"/>
        <v>9</v>
      </c>
      <c r="C343" s="94">
        <f t="shared" si="289"/>
        <v>6.0100072930732162E-2</v>
      </c>
      <c r="D343" s="162">
        <f t="shared" si="290"/>
        <v>0.11452250913387912</v>
      </c>
      <c r="E343" s="104" t="str">
        <f t="shared" si="291"/>
        <v xml:space="preserve"> </v>
      </c>
    </row>
    <row r="344" spans="2:5" x14ac:dyDescent="0.25">
      <c r="B344" s="104">
        <f t="shared" si="292"/>
        <v>10</v>
      </c>
      <c r="C344" s="94">
        <f t="shared" si="289"/>
        <v>4.9052049534391018E-2</v>
      </c>
      <c r="D344" s="162">
        <f t="shared" si="290"/>
        <v>0.11452250913387912</v>
      </c>
      <c r="E344" s="104" t="str">
        <f t="shared" si="291"/>
        <v xml:space="preserve"> </v>
      </c>
    </row>
    <row r="345" spans="2:5" x14ac:dyDescent="0.25">
      <c r="B345" s="104">
        <f t="shared" si="292"/>
        <v>11</v>
      </c>
      <c r="C345" s="94">
        <f t="shared" si="289"/>
        <v>3.9819643623599688E-2</v>
      </c>
      <c r="D345" s="162">
        <f t="shared" si="290"/>
        <v>0.11452250913387912</v>
      </c>
      <c r="E345" s="104" t="str">
        <f t="shared" si="291"/>
        <v xml:space="preserve"> </v>
      </c>
    </row>
    <row r="346" spans="2:5" x14ac:dyDescent="0.25">
      <c r="B346" s="104">
        <f t="shared" si="292"/>
        <v>12</v>
      </c>
      <c r="C346" s="94">
        <f t="shared" si="289"/>
        <v>3.2242016008762531E-2</v>
      </c>
      <c r="D346" s="162">
        <f t="shared" si="290"/>
        <v>0.11452250913387912</v>
      </c>
      <c r="E346" s="104" t="str">
        <f t="shared" si="291"/>
        <v xml:space="preserve"> </v>
      </c>
    </row>
    <row r="347" spans="2:5" x14ac:dyDescent="0.25">
      <c r="B347" s="104">
        <f t="shared" si="292"/>
        <v>13</v>
      </c>
      <c r="C347" s="94">
        <f t="shared" si="289"/>
        <v>2.6088539843554082E-2</v>
      </c>
      <c r="D347" s="162">
        <f t="shared" si="290"/>
        <v>0.11452250913387912</v>
      </c>
      <c r="E347" s="104" t="str">
        <f t="shared" si="291"/>
        <v xml:space="preserve"> </v>
      </c>
    </row>
    <row r="348" spans="2:5" x14ac:dyDescent="0.25">
      <c r="B348" s="104">
        <f t="shared" si="292"/>
        <v>14</v>
      </c>
      <c r="C348" s="94">
        <f t="shared" si="289"/>
        <v>2.1121891520729075E-2</v>
      </c>
      <c r="D348" s="162">
        <f t="shared" si="290"/>
        <v>0.11452250913387912</v>
      </c>
      <c r="E348" s="104" t="str">
        <f t="shared" si="291"/>
        <v xml:space="preserve"> </v>
      </c>
    </row>
    <row r="349" spans="2:5" x14ac:dyDescent="0.25">
      <c r="B349" s="104">
        <f t="shared" si="292"/>
        <v>15</v>
      </c>
      <c r="C349" s="94">
        <f t="shared" si="289"/>
        <v>1.712564600287747E-2</v>
      </c>
      <c r="D349" s="162">
        <f t="shared" si="290"/>
        <v>0.11452250913387912</v>
      </c>
      <c r="E349" s="104" t="str">
        <f t="shared" si="291"/>
        <v xml:space="preserve"> </v>
      </c>
    </row>
    <row r="350" spans="2:5" x14ac:dyDescent="0.25">
      <c r="B350" s="104">
        <f t="shared" si="292"/>
        <v>16</v>
      </c>
      <c r="C350" s="94">
        <f t="shared" si="289"/>
        <v>1.3913851413963396E-2</v>
      </c>
      <c r="D350" s="162">
        <f t="shared" si="290"/>
        <v>0.11452250913387912</v>
      </c>
      <c r="E350" s="104" t="str">
        <f t="shared" si="291"/>
        <v xml:space="preserve"> </v>
      </c>
    </row>
    <row r="351" spans="2:5" x14ac:dyDescent="0.25">
      <c r="B351" s="104">
        <f t="shared" si="292"/>
        <v>17</v>
      </c>
      <c r="C351" s="94">
        <f t="shared" si="289"/>
        <v>1.1331975464016319E-2</v>
      </c>
      <c r="D351" s="162">
        <f t="shared" si="290"/>
        <v>0.11452250913387912</v>
      </c>
      <c r="E351" s="104" t="str">
        <f t="shared" si="291"/>
        <v xml:space="preserve"> </v>
      </c>
    </row>
    <row r="352" spans="2:5" x14ac:dyDescent="0.25">
      <c r="B352" s="104">
        <f t="shared" si="292"/>
        <v>18</v>
      </c>
      <c r="C352" s="94">
        <f t="shared" si="289"/>
        <v>9.2541115785630401E-3</v>
      </c>
      <c r="D352" s="162">
        <f t="shared" si="290"/>
        <v>0.11452250913387912</v>
      </c>
      <c r="E352" s="104" t="str">
        <f t="shared" si="291"/>
        <v xml:space="preserve"> </v>
      </c>
    </row>
    <row r="353" spans="2:5" x14ac:dyDescent="0.25">
      <c r="B353" s="104">
        <f t="shared" si="292"/>
        <v>19</v>
      </c>
      <c r="C353" s="94">
        <f t="shared" si="289"/>
        <v>7.5788972441808156E-3</v>
      </c>
      <c r="D353" s="162">
        <f t="shared" si="290"/>
        <v>0.11452250913387912</v>
      </c>
      <c r="E353" s="104" t="str">
        <f t="shared" si="291"/>
        <v xml:space="preserve"> </v>
      </c>
    </row>
    <row r="354" spans="2:5" x14ac:dyDescent="0.25">
      <c r="B354" s="104">
        <f t="shared" si="292"/>
        <v>20</v>
      </c>
      <c r="C354" s="94">
        <f t="shared" si="289"/>
        <v>6.2253106633846089E-3</v>
      </c>
      <c r="D354" s="162">
        <f t="shared" si="290"/>
        <v>0.11452250913387912</v>
      </c>
      <c r="E354" s="104" t="str">
        <f t="shared" si="291"/>
        <v xml:space="preserve"> </v>
      </c>
    </row>
    <row r="355" spans="2:5" x14ac:dyDescent="0.25">
      <c r="B355" s="104">
        <f t="shared" si="292"/>
        <v>21</v>
      </c>
      <c r="C355" s="94">
        <f t="shared" si="289"/>
        <v>5.1288484484605101E-3</v>
      </c>
      <c r="D355" s="162">
        <f t="shared" si="290"/>
        <v>0.11452250913387912</v>
      </c>
      <c r="E355" s="104" t="str">
        <f t="shared" si="291"/>
        <v xml:space="preserve"> </v>
      </c>
    </row>
    <row r="356" spans="2:5" x14ac:dyDescent="0.25">
      <c r="B356" s="104">
        <f t="shared" si="292"/>
        <v>22</v>
      </c>
      <c r="C356" s="94">
        <f t="shared" si="289"/>
        <v>4.2382559184572788E-3</v>
      </c>
      <c r="D356" s="162">
        <f t="shared" si="290"/>
        <v>0.11452250913387912</v>
      </c>
      <c r="E356" s="104" t="str">
        <f t="shared" si="291"/>
        <v xml:space="preserve"> </v>
      </c>
    </row>
    <row r="357" spans="2:5" x14ac:dyDescent="0.25">
      <c r="B357" s="104">
        <f t="shared" si="292"/>
        <v>23</v>
      </c>
      <c r="C357" s="94">
        <f t="shared" si="289"/>
        <v>3.5128246522627693E-3</v>
      </c>
      <c r="D357" s="162">
        <f t="shared" si="290"/>
        <v>0.11452250913387912</v>
      </c>
      <c r="E357" s="104" t="str">
        <f t="shared" si="291"/>
        <v xml:space="preserve"> </v>
      </c>
    </row>
    <row r="358" spans="2:5" x14ac:dyDescent="0.25">
      <c r="B358" s="104">
        <f t="shared" si="292"/>
        <v>24</v>
      </c>
      <c r="C358" s="94">
        <f t="shared" si="289"/>
        <v>2.9202045833235379E-3</v>
      </c>
      <c r="D358" s="162">
        <f t="shared" si="290"/>
        <v>0.11452250913387912</v>
      </c>
      <c r="E358" s="104" t="str">
        <f t="shared" si="291"/>
        <v xml:space="preserve"> </v>
      </c>
    </row>
    <row r="359" spans="2:5" x14ac:dyDescent="0.25">
      <c r="B359" s="104">
        <f t="shared" si="292"/>
        <v>25</v>
      </c>
      <c r="C359" s="94">
        <f t="shared" si="289"/>
        <v>2.4346551682035145E-3</v>
      </c>
      <c r="D359" s="162">
        <f t="shared" si="290"/>
        <v>0.11452250913387912</v>
      </c>
      <c r="E359" s="104" t="str">
        <f t="shared" si="291"/>
        <v xml:space="preserve"> </v>
      </c>
    </row>
    <row r="360" spans="2:5" x14ac:dyDescent="0.25">
      <c r="B360" s="104">
        <f t="shared" si="292"/>
        <v>26</v>
      </c>
      <c r="C360" s="94">
        <f t="shared" si="289"/>
        <v>2.0356585061028776E-3</v>
      </c>
      <c r="D360" s="162">
        <f t="shared" si="290"/>
        <v>0.11452250913387912</v>
      </c>
      <c r="E360" s="104" t="str">
        <f t="shared" si="291"/>
        <v xml:space="preserve"> </v>
      </c>
    </row>
    <row r="361" spans="2:5" x14ac:dyDescent="0.25">
      <c r="B361" s="104">
        <f t="shared" si="292"/>
        <v>27</v>
      </c>
      <c r="C361" s="94">
        <f t="shared" si="289"/>
        <v>1.7068246556123379E-3</v>
      </c>
      <c r="D361" s="162">
        <f t="shared" si="290"/>
        <v>0.11452250913387912</v>
      </c>
      <c r="E361" s="104" t="str">
        <f t="shared" si="291"/>
        <v xml:space="preserve"> </v>
      </c>
    </row>
    <row r="362" spans="2:5" x14ac:dyDescent="0.25">
      <c r="B362" s="104">
        <f t="shared" si="292"/>
        <v>28</v>
      </c>
      <c r="C362" s="94">
        <f t="shared" si="289"/>
        <v>1.4350297757761421E-3</v>
      </c>
      <c r="D362" s="162">
        <f t="shared" si="290"/>
        <v>0.11452250913387912</v>
      </c>
      <c r="E362" s="104" t="str">
        <f t="shared" si="291"/>
        <v xml:space="preserve"> </v>
      </c>
    </row>
    <row r="363" spans="2:5" x14ac:dyDescent="0.25">
      <c r="B363" s="104">
        <f t="shared" si="292"/>
        <v>29</v>
      </c>
      <c r="C363" s="94">
        <f t="shared" si="289"/>
        <v>1.2097382711654392E-3</v>
      </c>
      <c r="D363" s="162">
        <f t="shared" si="290"/>
        <v>0.11452250913387912</v>
      </c>
      <c r="E363" s="104" t="str">
        <f t="shared" si="291"/>
        <v xml:space="preserve"> </v>
      </c>
    </row>
    <row r="364" spans="2:5" x14ac:dyDescent="0.25">
      <c r="B364" s="104">
        <f t="shared" si="292"/>
        <v>30</v>
      </c>
      <c r="C364" s="94">
        <f t="shared" si="289"/>
        <v>1.0224696350602525E-3</v>
      </c>
      <c r="D364" s="162">
        <f t="shared" si="290"/>
        <v>0.11452250913387912</v>
      </c>
      <c r="E364" s="104" t="str">
        <f t="shared" si="291"/>
        <v xml:space="preserve"> </v>
      </c>
    </row>
    <row r="365" spans="2:5" x14ac:dyDescent="0.25">
      <c r="B365" s="104">
        <f t="shared" si="292"/>
        <v>31</v>
      </c>
      <c r="C365" s="94">
        <f t="shared" si="289"/>
        <v>8.6637876265216462E-4</v>
      </c>
      <c r="D365" s="162">
        <f t="shared" si="290"/>
        <v>0.11452250913387912</v>
      </c>
      <c r="E365" s="104" t="str">
        <f t="shared" si="291"/>
        <v xml:space="preserve"> </v>
      </c>
    </row>
    <row r="366" spans="2:5" x14ac:dyDescent="0.25">
      <c r="B366" s="104">
        <f t="shared" si="292"/>
        <v>32</v>
      </c>
      <c r="C366" s="94">
        <f t="shared" ref="C366:C393" si="293">E89</f>
        <v>7.3592513205167354E-4</v>
      </c>
      <c r="D366" s="162">
        <f t="shared" ref="D366:D393" si="294">MAX($C$334:$C$393)</f>
        <v>0.11452250913387912</v>
      </c>
      <c r="E366" s="104" t="str">
        <f t="shared" si="291"/>
        <v xml:space="preserve"> </v>
      </c>
    </row>
    <row r="367" spans="2:5" x14ac:dyDescent="0.25">
      <c r="B367" s="104">
        <f t="shared" si="292"/>
        <v>33</v>
      </c>
      <c r="C367" s="94">
        <f t="shared" si="293"/>
        <v>6.2661157194143779E-4</v>
      </c>
      <c r="D367" s="162">
        <f t="shared" si="294"/>
        <v>0.11452250913387912</v>
      </c>
      <c r="E367" s="104" t="str">
        <f t="shared" si="291"/>
        <v xml:space="preserve"> </v>
      </c>
    </row>
    <row r="368" spans="2:5" x14ac:dyDescent="0.25">
      <c r="B368" s="104">
        <f t="shared" si="292"/>
        <v>34</v>
      </c>
      <c r="C368" s="94">
        <f t="shared" si="293"/>
        <v>5.3477755081066114E-4</v>
      </c>
      <c r="D368" s="162">
        <f t="shared" si="294"/>
        <v>0.11452250913387912</v>
      </c>
      <c r="E368" s="104" t="str">
        <f t="shared" si="291"/>
        <v xml:space="preserve"> </v>
      </c>
    </row>
    <row r="369" spans="2:5" x14ac:dyDescent="0.25">
      <c r="B369" s="104">
        <f t="shared" si="292"/>
        <v>35</v>
      </c>
      <c r="C369" s="94">
        <f t="shared" si="293"/>
        <v>4.5743523459129687E-4</v>
      </c>
      <c r="D369" s="162">
        <f t="shared" si="294"/>
        <v>0.11452250913387912</v>
      </c>
      <c r="E369" s="104" t="str">
        <f t="shared" si="291"/>
        <v xml:space="preserve"> </v>
      </c>
    </row>
    <row r="370" spans="2:5" x14ac:dyDescent="0.25">
      <c r="B370" s="104">
        <f t="shared" si="292"/>
        <v>36</v>
      </c>
      <c r="C370" s="94">
        <f t="shared" si="293"/>
        <v>3.9213914699076646E-4</v>
      </c>
      <c r="D370" s="162">
        <f t="shared" si="294"/>
        <v>0.11452250913387912</v>
      </c>
      <c r="E370" s="104" t="str">
        <f t="shared" si="291"/>
        <v xml:space="preserve"> </v>
      </c>
    </row>
    <row r="371" spans="2:5" x14ac:dyDescent="0.25">
      <c r="B371" s="104">
        <f t="shared" si="292"/>
        <v>37</v>
      </c>
      <c r="C371" s="94">
        <f t="shared" si="293"/>
        <v>3.3688228175876578E-4</v>
      </c>
      <c r="D371" s="162">
        <f t="shared" si="294"/>
        <v>0.11452250913387912</v>
      </c>
      <c r="E371" s="104" t="str">
        <f t="shared" si="291"/>
        <v xml:space="preserve"> </v>
      </c>
    </row>
    <row r="372" spans="2:5" x14ac:dyDescent="0.25">
      <c r="B372" s="104">
        <f t="shared" si="292"/>
        <v>38</v>
      </c>
      <c r="C372" s="94">
        <f t="shared" si="293"/>
        <v>2.9001308254406055E-4</v>
      </c>
      <c r="D372" s="162">
        <f t="shared" si="294"/>
        <v>0.11452250913387912</v>
      </c>
      <c r="E372" s="104" t="str">
        <f t="shared" si="291"/>
        <v xml:space="preserve"> </v>
      </c>
    </row>
    <row r="373" spans="2:5" x14ac:dyDescent="0.25">
      <c r="B373" s="104">
        <f t="shared" si="292"/>
        <v>39</v>
      </c>
      <c r="C373" s="94">
        <f t="shared" si="293"/>
        <v>2.5016892299656313E-4</v>
      </c>
      <c r="D373" s="162">
        <f t="shared" si="294"/>
        <v>0.11452250913387912</v>
      </c>
      <c r="E373" s="104" t="str">
        <f t="shared" si="291"/>
        <v xml:space="preserve"> </v>
      </c>
    </row>
    <row r="374" spans="2:5" x14ac:dyDescent="0.25">
      <c r="B374" s="104">
        <f t="shared" si="292"/>
        <v>40</v>
      </c>
      <c r="C374" s="94">
        <f t="shared" si="293"/>
        <v>2.1622266551513114E-4</v>
      </c>
      <c r="D374" s="162">
        <f t="shared" si="294"/>
        <v>0.11452250913387912</v>
      </c>
      <c r="E374" s="104" t="str">
        <f t="shared" si="291"/>
        <v xml:space="preserve"> </v>
      </c>
    </row>
    <row r="375" spans="2:5" x14ac:dyDescent="0.25">
      <c r="B375" s="104">
        <f t="shared" si="292"/>
        <v>41</v>
      </c>
      <c r="C375" s="94">
        <f t="shared" si="293"/>
        <v>1.8723961259026201E-4</v>
      </c>
      <c r="D375" s="162">
        <f t="shared" si="294"/>
        <v>0.11452250913387912</v>
      </c>
      <c r="E375" s="104" t="str">
        <f t="shared" si="291"/>
        <v xml:space="preserve"> </v>
      </c>
    </row>
    <row r="376" spans="2:5" x14ac:dyDescent="0.25">
      <c r="B376" s="104">
        <f t="shared" si="292"/>
        <v>42</v>
      </c>
      <c r="C376" s="94">
        <f t="shared" si="293"/>
        <v>1.6244273750543048E-4</v>
      </c>
      <c r="D376" s="162">
        <f t="shared" si="294"/>
        <v>0.11452250913387912</v>
      </c>
      <c r="E376" s="104" t="str">
        <f t="shared" si="291"/>
        <v xml:space="preserve"> </v>
      </c>
    </row>
    <row r="377" spans="2:5" x14ac:dyDescent="0.25">
      <c r="B377" s="104">
        <f t="shared" si="292"/>
        <v>43</v>
      </c>
      <c r="C377" s="94">
        <f t="shared" si="293"/>
        <v>1.411845279563062E-4</v>
      </c>
      <c r="D377" s="162">
        <f t="shared" si="294"/>
        <v>0.11452250913387912</v>
      </c>
      <c r="E377" s="104" t="str">
        <f t="shared" si="291"/>
        <v xml:space="preserve"> </v>
      </c>
    </row>
    <row r="378" spans="2:5" x14ac:dyDescent="0.25">
      <c r="B378" s="104">
        <f t="shared" si="292"/>
        <v>44</v>
      </c>
      <c r="C378" s="94">
        <f t="shared" si="293"/>
        <v>1.2292412531544894E-4</v>
      </c>
      <c r="D378" s="162">
        <f t="shared" si="294"/>
        <v>0.11452250913387912</v>
      </c>
      <c r="E378" s="104" t="str">
        <f t="shared" si="291"/>
        <v xml:space="preserve"> </v>
      </c>
    </row>
    <row r="379" spans="2:5" x14ac:dyDescent="0.25">
      <c r="B379" s="104">
        <f t="shared" si="292"/>
        <v>45</v>
      </c>
      <c r="C379" s="94">
        <f t="shared" si="293"/>
        <v>1.0720871569669388E-4</v>
      </c>
      <c r="D379" s="162">
        <f t="shared" si="294"/>
        <v>0.11452250913387912</v>
      </c>
      <c r="E379" s="104" t="str">
        <f t="shared" si="291"/>
        <v xml:space="preserve"> </v>
      </c>
    </row>
    <row r="380" spans="2:5" x14ac:dyDescent="0.25">
      <c r="B380" s="104">
        <f t="shared" si="292"/>
        <v>46</v>
      </c>
      <c r="C380" s="94">
        <f t="shared" si="293"/>
        <v>9.3658343571889624E-5</v>
      </c>
      <c r="D380" s="162">
        <f t="shared" si="294"/>
        <v>0.11452250913387912</v>
      </c>
      <c r="E380" s="104" t="str">
        <f t="shared" si="291"/>
        <v xml:space="preserve"> </v>
      </c>
    </row>
    <row r="381" spans="2:5" x14ac:dyDescent="0.25">
      <c r="B381" s="104">
        <f t="shared" si="292"/>
        <v>47</v>
      </c>
      <c r="C381" s="94">
        <f t="shared" si="293"/>
        <v>8.1953487498731548E-5</v>
      </c>
      <c r="D381" s="162">
        <f t="shared" si="294"/>
        <v>0.11452250913387912</v>
      </c>
      <c r="E381" s="104" t="str">
        <f t="shared" si="291"/>
        <v xml:space="preserve"> </v>
      </c>
    </row>
    <row r="382" spans="2:5" x14ac:dyDescent="0.25">
      <c r="B382" s="104">
        <f t="shared" si="292"/>
        <v>48</v>
      </c>
      <c r="C382" s="94">
        <f t="shared" si="293"/>
        <v>7.1824870630288196E-5</v>
      </c>
      <c r="D382" s="162">
        <f t="shared" si="294"/>
        <v>0.11452250913387912</v>
      </c>
      <c r="E382" s="104" t="str">
        <f t="shared" si="291"/>
        <v xml:space="preserve"> </v>
      </c>
    </row>
    <row r="383" spans="2:5" x14ac:dyDescent="0.25">
      <c r="B383" s="104">
        <f t="shared" si="292"/>
        <v>49</v>
      </c>
      <c r="C383" s="94">
        <f t="shared" si="293"/>
        <v>6.3045083889323728E-5</v>
      </c>
      <c r="D383" s="162">
        <f t="shared" si="294"/>
        <v>0.11452250913387912</v>
      </c>
      <c r="E383" s="104" t="str">
        <f t="shared" si="291"/>
        <v xml:space="preserve"> </v>
      </c>
    </row>
    <row r="384" spans="2:5" x14ac:dyDescent="0.25">
      <c r="B384" s="104">
        <f t="shared" si="292"/>
        <v>50</v>
      </c>
      <c r="C384" s="94">
        <f t="shared" si="293"/>
        <v>5.5421683060608018E-5</v>
      </c>
      <c r="D384" s="162">
        <f t="shared" si="294"/>
        <v>0.11452250913387912</v>
      </c>
      <c r="E384" s="104" t="str">
        <f t="shared" si="291"/>
        <v xml:space="preserve"> </v>
      </c>
    </row>
    <row r="385" spans="2:87" x14ac:dyDescent="0.25">
      <c r="B385" s="104">
        <f t="shared" si="292"/>
        <v>51</v>
      </c>
      <c r="C385" s="94">
        <f t="shared" si="293"/>
        <v>4.8791487279764567E-5</v>
      </c>
      <c r="D385" s="162">
        <f t="shared" si="294"/>
        <v>0.11452250913387912</v>
      </c>
      <c r="E385" s="104" t="str">
        <f t="shared" si="291"/>
        <v xml:space="preserve"> </v>
      </c>
    </row>
    <row r="386" spans="2:87" x14ac:dyDescent="0.25">
      <c r="B386" s="104">
        <f t="shared" si="292"/>
        <v>52</v>
      </c>
      <c r="C386" s="94">
        <f t="shared" si="293"/>
        <v>4.3015859130357548E-5</v>
      </c>
      <c r="D386" s="162">
        <f t="shared" si="294"/>
        <v>0.11452250913387912</v>
      </c>
      <c r="E386" s="104" t="str">
        <f t="shared" si="291"/>
        <v xml:space="preserve"> </v>
      </c>
    </row>
    <row r="387" spans="2:87" x14ac:dyDescent="0.25">
      <c r="B387" s="104">
        <f t="shared" si="292"/>
        <v>53</v>
      </c>
      <c r="C387" s="94">
        <f t="shared" si="293"/>
        <v>3.7976788656024496E-5</v>
      </c>
      <c r="D387" s="162">
        <f t="shared" si="294"/>
        <v>0.11452250913387912</v>
      </c>
      <c r="E387" s="104" t="str">
        <f t="shared" si="291"/>
        <v xml:space="preserve"> </v>
      </c>
    </row>
    <row r="388" spans="2:87" x14ac:dyDescent="0.25">
      <c r="B388" s="104">
        <f t="shared" si="292"/>
        <v>54</v>
      </c>
      <c r="C388" s="94">
        <f t="shared" si="293"/>
        <v>3.3573637288397684E-5</v>
      </c>
      <c r="D388" s="162">
        <f t="shared" si="294"/>
        <v>0.11452250913387912</v>
      </c>
      <c r="E388" s="104" t="str">
        <f t="shared" si="291"/>
        <v xml:space="preserve"> </v>
      </c>
    </row>
    <row r="389" spans="2:87" x14ac:dyDescent="0.25">
      <c r="B389" s="104">
        <f t="shared" si="292"/>
        <v>55</v>
      </c>
      <c r="C389" s="94">
        <f t="shared" si="293"/>
        <v>2.972042470716918E-5</v>
      </c>
      <c r="D389" s="162">
        <f t="shared" si="294"/>
        <v>0.11452250913387912</v>
      </c>
      <c r="E389" s="104" t="str">
        <f t="shared" si="291"/>
        <v xml:space="preserve"> </v>
      </c>
    </row>
    <row r="390" spans="2:87" x14ac:dyDescent="0.25">
      <c r="B390" s="104">
        <f t="shared" si="292"/>
        <v>56</v>
      </c>
      <c r="C390" s="94">
        <f t="shared" si="293"/>
        <v>2.6343563384600976E-5</v>
      </c>
      <c r="D390" s="162">
        <f t="shared" si="294"/>
        <v>0.11452250913387912</v>
      </c>
      <c r="E390" s="104" t="str">
        <f t="shared" si="291"/>
        <v xml:space="preserve"> </v>
      </c>
    </row>
    <row r="391" spans="2:87" x14ac:dyDescent="0.25">
      <c r="B391" s="104">
        <f t="shared" si="292"/>
        <v>57</v>
      </c>
      <c r="C391" s="94">
        <f t="shared" si="293"/>
        <v>2.3379963080660815E-5</v>
      </c>
      <c r="D391" s="162">
        <f t="shared" si="294"/>
        <v>0.11452250913387912</v>
      </c>
      <c r="E391" s="104" t="str">
        <f t="shared" si="291"/>
        <v xml:space="preserve"> </v>
      </c>
    </row>
    <row r="392" spans="2:87" x14ac:dyDescent="0.25">
      <c r="B392" s="104">
        <f t="shared" si="292"/>
        <v>58</v>
      </c>
      <c r="C392" s="94">
        <f t="shared" si="293"/>
        <v>2.0775441703202446E-5</v>
      </c>
      <c r="D392" s="162">
        <f t="shared" si="294"/>
        <v>0.11452250913387912</v>
      </c>
      <c r="E392" s="104" t="str">
        <f t="shared" si="291"/>
        <v xml:space="preserve"> </v>
      </c>
    </row>
    <row r="393" spans="2:87" x14ac:dyDescent="0.25">
      <c r="B393" s="104">
        <f t="shared" si="292"/>
        <v>59</v>
      </c>
      <c r="C393" s="94">
        <f t="shared" si="293"/>
        <v>1.848339041277125E-5</v>
      </c>
      <c r="D393" s="162">
        <f t="shared" si="294"/>
        <v>0.11452250913387912</v>
      </c>
      <c r="E393" s="104" t="str">
        <f t="shared" si="291"/>
        <v xml:space="preserve"> </v>
      </c>
    </row>
    <row r="394" spans="2:87" x14ac:dyDescent="0.25">
      <c r="D394" s="94" t="s">
        <v>162</v>
      </c>
      <c r="E394" s="104">
        <f>MIN(E334:E393)</f>
        <v>4</v>
      </c>
    </row>
    <row r="395" spans="2:87" x14ac:dyDescent="0.25">
      <c r="D395" s="94" t="s">
        <v>163</v>
      </c>
      <c r="E395" s="163">
        <f>E394-1</f>
        <v>3</v>
      </c>
      <c r="F395" s="164" t="str">
        <f>TEXT(E395,"mm/dd")</f>
        <v>01/03</v>
      </c>
      <c r="G395" s="164" t="str">
        <f>F395</f>
        <v>01/03</v>
      </c>
      <c r="H395" s="94" t="str">
        <f>CONCATENATE(G395," - ",G396)</f>
        <v>01/03 - 01/05</v>
      </c>
    </row>
    <row r="396" spans="2:87" x14ac:dyDescent="0.25">
      <c r="D396" s="94" t="s">
        <v>164</v>
      </c>
      <c r="E396" s="163">
        <f>E394+1</f>
        <v>5</v>
      </c>
      <c r="F396" s="164" t="str">
        <f>TEXT(E396,"mm/dd")</f>
        <v>01/05</v>
      </c>
      <c r="G396" s="164" t="str">
        <f>F396</f>
        <v>01/05</v>
      </c>
    </row>
    <row r="398" spans="2:87" s="724" customFormat="1" ht="13.8" thickBot="1" x14ac:dyDescent="0.3">
      <c r="I398" s="725"/>
      <c r="K398" s="727"/>
      <c r="O398" s="727"/>
      <c r="P398" s="727"/>
      <c r="Q398" s="727"/>
      <c r="R398" s="727"/>
      <c r="S398" s="727"/>
      <c r="T398" s="727"/>
      <c r="U398" s="727"/>
      <c r="V398" s="727"/>
      <c r="W398" s="727"/>
      <c r="X398" s="727"/>
      <c r="Y398" s="727"/>
      <c r="Z398" s="727"/>
      <c r="AA398" s="727"/>
      <c r="AB398" s="727"/>
      <c r="AC398" s="727"/>
      <c r="AD398" s="727"/>
      <c r="AE398" s="727"/>
      <c r="AF398" s="727"/>
      <c r="AG398" s="727"/>
      <c r="AH398" s="727"/>
      <c r="AI398" s="727"/>
      <c r="AJ398" s="727"/>
      <c r="AK398" s="727"/>
      <c r="AL398" s="727"/>
      <c r="AM398" s="727"/>
      <c r="AN398" s="727"/>
      <c r="AO398" s="727"/>
      <c r="AP398" s="727"/>
      <c r="AQ398" s="727"/>
      <c r="AR398" s="727"/>
      <c r="AS398" s="727"/>
      <c r="AT398" s="727"/>
      <c r="AU398" s="727"/>
      <c r="AV398" s="727"/>
      <c r="AW398" s="727"/>
      <c r="AX398" s="727"/>
      <c r="CC398" s="728"/>
      <c r="CD398" s="729"/>
      <c r="CE398" s="729"/>
      <c r="CF398" s="730"/>
      <c r="CG398" s="729"/>
      <c r="CH398" s="731"/>
      <c r="CI398" s="732"/>
    </row>
    <row r="399" spans="2:87" ht="13.8" thickTop="1" x14ac:dyDescent="0.25"/>
    <row r="400" spans="2:87" ht="13.8" thickBot="1" x14ac:dyDescent="0.3">
      <c r="B400" s="326"/>
      <c r="C400" s="105"/>
      <c r="D400" s="78"/>
      <c r="E400" s="78"/>
      <c r="F400"/>
      <c r="G400" s="78"/>
      <c r="H400" s="77"/>
      <c r="I400" s="104"/>
    </row>
    <row r="401" spans="2:9" ht="13.8" thickBot="1" x14ac:dyDescent="0.3">
      <c r="D401" s="105"/>
      <c r="E401" s="105"/>
      <c r="F401" s="78"/>
      <c r="G401"/>
      <c r="H401"/>
      <c r="I401" s="107" t="s">
        <v>149</v>
      </c>
    </row>
    <row r="402" spans="2:9" ht="16.2" thickBot="1" x14ac:dyDescent="0.35">
      <c r="C402" s="106" t="s">
        <v>123</v>
      </c>
      <c r="D402" s="87"/>
      <c r="E402" s="87"/>
      <c r="F402" s="87"/>
      <c r="G402" s="87"/>
      <c r="H402" s="87"/>
      <c r="I402" s="108">
        <f>MIN(I405:I601)</f>
        <v>0</v>
      </c>
    </row>
    <row r="403" spans="2:9" x14ac:dyDescent="0.25">
      <c r="C403" s="1238" t="s">
        <v>124</v>
      </c>
      <c r="D403" s="80" t="s">
        <v>240</v>
      </c>
      <c r="E403" s="80" t="s">
        <v>241</v>
      </c>
      <c r="F403" s="80" t="s">
        <v>242</v>
      </c>
      <c r="G403" s="80" t="s">
        <v>436</v>
      </c>
      <c r="H403" s="1240" t="s">
        <v>125</v>
      </c>
      <c r="I403" s="104"/>
    </row>
    <row r="404" spans="2:9" ht="22.8" x14ac:dyDescent="0.25">
      <c r="C404" s="1239"/>
      <c r="D404" s="91"/>
      <c r="E404" s="91" t="s">
        <v>437</v>
      </c>
      <c r="F404" s="91" t="s">
        <v>428</v>
      </c>
      <c r="G404" s="91" t="s">
        <v>438</v>
      </c>
      <c r="H404" s="1241"/>
      <c r="I404" s="104"/>
    </row>
    <row r="405" spans="2:9" x14ac:dyDescent="0.25">
      <c r="C405" s="83">
        <f ca="1">CASE_COUNTS!B11</f>
        <v>42609</v>
      </c>
      <c r="D405" s="88">
        <f>IF(INCUBATION!$E$27=CASE_COUNTS!$C$10,CASE_COUNTS!C11,IF(INCUBATION!$E$27=CASE_COUNTS!$D$10,CASE_COUNTS!D11,IF(INCUBATION!$E$27=CASE_COUNTS!$E$10,CASE_COUNTS!E11,CASE_COUNTS!C11)))</f>
        <v>0</v>
      </c>
      <c r="E405" s="88">
        <f>CASE_COUNTS!C11</f>
        <v>0</v>
      </c>
      <c r="F405" s="88">
        <f>CASE_COUNTS!D11</f>
        <v>0</v>
      </c>
      <c r="G405" s="88">
        <f>CASE_COUNTS!E11</f>
        <v>0</v>
      </c>
      <c r="H405" s="86">
        <f>SUM(D405:G405)</f>
        <v>0</v>
      </c>
      <c r="I405" s="104" t="str">
        <f t="shared" ref="I405:I436" si="295">IF(H405=0," ",C405)</f>
        <v xml:space="preserve"> </v>
      </c>
    </row>
    <row r="406" spans="2:9" x14ac:dyDescent="0.25">
      <c r="C406" s="83">
        <f ca="1">CASE_COUNTS!B12</f>
        <v>42610</v>
      </c>
      <c r="D406" s="89">
        <f>IF(INCUBATION!$E$27=CASE_COUNTS!$C$10,CASE_COUNTS!C12,IF(INCUBATION!$E$27=CASE_COUNTS!$D$10,CASE_COUNTS!D12,IF(INCUBATION!$E$27=CASE_COUNTS!$E$10,CASE_COUNTS!E12,CASE_COUNTS!C12)))</f>
        <v>0</v>
      </c>
      <c r="E406" s="89">
        <f>CASE_COUNTS!C12</f>
        <v>0</v>
      </c>
      <c r="F406" s="89">
        <f>CASE_COUNTS!D12</f>
        <v>0</v>
      </c>
      <c r="G406" s="89">
        <f>CASE_COUNTS!E12</f>
        <v>0</v>
      </c>
      <c r="H406" s="86">
        <f t="shared" ref="H406:H469" si="296">SUM(D406:G406)</f>
        <v>0</v>
      </c>
      <c r="I406" s="104" t="str">
        <f t="shared" si="295"/>
        <v xml:space="preserve"> </v>
      </c>
    </row>
    <row r="407" spans="2:9" x14ac:dyDescent="0.25">
      <c r="C407" s="83">
        <f ca="1">CASE_COUNTS!B13</f>
        <v>42611</v>
      </c>
      <c r="D407" s="89">
        <f>IF(INCUBATION!$E$27=CASE_COUNTS!$C$10,CASE_COUNTS!C13,IF(INCUBATION!$E$27=CASE_COUNTS!$D$10,CASE_COUNTS!D13,IF(INCUBATION!$E$27=CASE_COUNTS!$E$10,CASE_COUNTS!E13,CASE_COUNTS!C13)))</f>
        <v>0</v>
      </c>
      <c r="E407" s="89">
        <f>CASE_COUNTS!C13</f>
        <v>0</v>
      </c>
      <c r="F407" s="89">
        <f>CASE_COUNTS!D13</f>
        <v>0</v>
      </c>
      <c r="G407" s="89">
        <f>CASE_COUNTS!E13</f>
        <v>0</v>
      </c>
      <c r="H407" s="86">
        <f t="shared" si="296"/>
        <v>0</v>
      </c>
      <c r="I407" s="104" t="str">
        <f t="shared" si="295"/>
        <v xml:space="preserve"> </v>
      </c>
    </row>
    <row r="408" spans="2:9" x14ac:dyDescent="0.25">
      <c r="C408" s="83">
        <f ca="1">CASE_COUNTS!B14</f>
        <v>42612</v>
      </c>
      <c r="D408" s="89">
        <f>IF(INCUBATION!$E$27=CASE_COUNTS!$C$10,CASE_COUNTS!C14,IF(INCUBATION!$E$27=CASE_COUNTS!$D$10,CASE_COUNTS!D14,IF(INCUBATION!$E$27=CASE_COUNTS!$E$10,CASE_COUNTS!E14,CASE_COUNTS!C14)))</f>
        <v>0</v>
      </c>
      <c r="E408" s="89">
        <f>CASE_COUNTS!C14</f>
        <v>0</v>
      </c>
      <c r="F408" s="89">
        <f>CASE_COUNTS!D14</f>
        <v>0</v>
      </c>
      <c r="G408" s="89">
        <f>CASE_COUNTS!E14</f>
        <v>0</v>
      </c>
      <c r="H408" s="86">
        <f t="shared" si="296"/>
        <v>0</v>
      </c>
      <c r="I408" s="104" t="str">
        <f t="shared" si="295"/>
        <v xml:space="preserve"> </v>
      </c>
    </row>
    <row r="409" spans="2:9" x14ac:dyDescent="0.25">
      <c r="B409" s="102"/>
      <c r="C409" s="109">
        <f ca="1">CASE_COUNTS!B15</f>
        <v>42613</v>
      </c>
      <c r="D409" s="110">
        <f>IF(INCUBATION!$E$27=CASE_COUNTS!$C$10,CASE_COUNTS!C15,IF(INCUBATION!$E$27=CASE_COUNTS!$D$10,CASE_COUNTS!D15,IF(INCUBATION!$E$27=CASE_COUNTS!$E$10,CASE_COUNTS!E15,CASE_COUNTS!C15)))</f>
        <v>0</v>
      </c>
      <c r="E409" s="110">
        <f>CASE_COUNTS!C15</f>
        <v>0</v>
      </c>
      <c r="F409" s="110">
        <f>CASE_COUNTS!D15</f>
        <v>0</v>
      </c>
      <c r="G409" s="110">
        <f>CASE_COUNTS!E15</f>
        <v>0</v>
      </c>
      <c r="H409" s="86">
        <f t="shared" si="296"/>
        <v>0</v>
      </c>
      <c r="I409" s="111" t="str">
        <f t="shared" si="295"/>
        <v xml:space="preserve"> </v>
      </c>
    </row>
    <row r="410" spans="2:9" x14ac:dyDescent="0.25">
      <c r="C410" s="83">
        <f ca="1">CASE_COUNTS!B16</f>
        <v>42614</v>
      </c>
      <c r="D410" s="89">
        <f>IF(INCUBATION!$E$27=CASE_COUNTS!$C$10,CASE_COUNTS!C16,IF(INCUBATION!$E$27=CASE_COUNTS!$D$10,CASE_COUNTS!D16,IF(INCUBATION!$E$27=CASE_COUNTS!$E$10,CASE_COUNTS!E16,CASE_COUNTS!C16)))</f>
        <v>0</v>
      </c>
      <c r="E410" s="89">
        <f>CASE_COUNTS!C16</f>
        <v>0</v>
      </c>
      <c r="F410" s="89">
        <f>CASE_COUNTS!D16</f>
        <v>0</v>
      </c>
      <c r="G410" s="89">
        <f>CASE_COUNTS!E16</f>
        <v>0</v>
      </c>
      <c r="H410" s="86">
        <f t="shared" si="296"/>
        <v>0</v>
      </c>
      <c r="I410" s="104" t="str">
        <f t="shared" si="295"/>
        <v xml:space="preserve"> </v>
      </c>
    </row>
    <row r="411" spans="2:9" x14ac:dyDescent="0.25">
      <c r="C411" s="83">
        <f ca="1">CASE_COUNTS!B17</f>
        <v>42615</v>
      </c>
      <c r="D411" s="89">
        <f>IF(INCUBATION!$E$27=CASE_COUNTS!$C$10,CASE_COUNTS!C17,IF(INCUBATION!$E$27=CASE_COUNTS!$D$10,CASE_COUNTS!D17,IF(INCUBATION!$E$27=CASE_COUNTS!$E$10,CASE_COUNTS!E17,CASE_COUNTS!C17)))</f>
        <v>0</v>
      </c>
      <c r="E411" s="89">
        <f>CASE_COUNTS!C17</f>
        <v>0</v>
      </c>
      <c r="F411" s="89">
        <f>CASE_COUNTS!D17</f>
        <v>0</v>
      </c>
      <c r="G411" s="89">
        <f>CASE_COUNTS!E17</f>
        <v>0</v>
      </c>
      <c r="H411" s="86">
        <f t="shared" si="296"/>
        <v>0</v>
      </c>
      <c r="I411" s="104" t="str">
        <f t="shared" si="295"/>
        <v xml:space="preserve"> </v>
      </c>
    </row>
    <row r="412" spans="2:9" x14ac:dyDescent="0.25">
      <c r="C412" s="83">
        <f ca="1">CASE_COUNTS!B18</f>
        <v>42616</v>
      </c>
      <c r="D412" s="89">
        <f>IF(INCUBATION!$E$27=CASE_COUNTS!$C$10,CASE_COUNTS!C18,IF(INCUBATION!$E$27=CASE_COUNTS!$D$10,CASE_COUNTS!D18,IF(INCUBATION!$E$27=CASE_COUNTS!$E$10,CASE_COUNTS!E18,CASE_COUNTS!C18)))</f>
        <v>0</v>
      </c>
      <c r="E412" s="89">
        <f>CASE_COUNTS!C18</f>
        <v>0</v>
      </c>
      <c r="F412" s="89">
        <f>CASE_COUNTS!D18</f>
        <v>0</v>
      </c>
      <c r="G412" s="89">
        <f>CASE_COUNTS!E18</f>
        <v>0</v>
      </c>
      <c r="H412" s="86">
        <f t="shared" si="296"/>
        <v>0</v>
      </c>
      <c r="I412" s="104" t="str">
        <f t="shared" si="295"/>
        <v xml:space="preserve"> </v>
      </c>
    </row>
    <row r="413" spans="2:9" x14ac:dyDescent="0.25">
      <c r="C413" s="83">
        <f ca="1">CASE_COUNTS!B19</f>
        <v>42617</v>
      </c>
      <c r="D413" s="89">
        <f>IF(INCUBATION!$E$27=CASE_COUNTS!$C$10,CASE_COUNTS!C19,IF(INCUBATION!$E$27=CASE_COUNTS!$D$10,CASE_COUNTS!D19,IF(INCUBATION!$E$27=CASE_COUNTS!$E$10,CASE_COUNTS!E19,CASE_COUNTS!C19)))</f>
        <v>0</v>
      </c>
      <c r="E413" s="89">
        <f>CASE_COUNTS!C19</f>
        <v>0</v>
      </c>
      <c r="F413" s="89">
        <f>CASE_COUNTS!D19</f>
        <v>0</v>
      </c>
      <c r="G413" s="89">
        <f>CASE_COUNTS!E19</f>
        <v>0</v>
      </c>
      <c r="H413" s="86">
        <f t="shared" si="296"/>
        <v>0</v>
      </c>
      <c r="I413" s="104" t="str">
        <f t="shared" si="295"/>
        <v xml:space="preserve"> </v>
      </c>
    </row>
    <row r="414" spans="2:9" x14ac:dyDescent="0.25">
      <c r="C414" s="83">
        <f ca="1">CASE_COUNTS!B20</f>
        <v>42618</v>
      </c>
      <c r="D414" s="89">
        <f>IF(INCUBATION!$E$27=CASE_COUNTS!$C$10,CASE_COUNTS!C20,IF(INCUBATION!$E$27=CASE_COUNTS!$D$10,CASE_COUNTS!D20,IF(INCUBATION!$E$27=CASE_COUNTS!$E$10,CASE_COUNTS!E20,CASE_COUNTS!C20)))</f>
        <v>0</v>
      </c>
      <c r="E414" s="89">
        <f>CASE_COUNTS!C20</f>
        <v>0</v>
      </c>
      <c r="F414" s="89">
        <f>CASE_COUNTS!D20</f>
        <v>0</v>
      </c>
      <c r="G414" s="89">
        <f>CASE_COUNTS!E20</f>
        <v>0</v>
      </c>
      <c r="H414" s="86">
        <f t="shared" si="296"/>
        <v>0</v>
      </c>
      <c r="I414" s="104" t="str">
        <f t="shared" si="295"/>
        <v xml:space="preserve"> </v>
      </c>
    </row>
    <row r="415" spans="2:9" x14ac:dyDescent="0.25">
      <c r="C415" s="83">
        <f ca="1">CASE_COUNTS!B21</f>
        <v>42619</v>
      </c>
      <c r="D415" s="89">
        <f>IF(INCUBATION!$E$27=CASE_COUNTS!$C$10,CASE_COUNTS!C21,IF(INCUBATION!$E$27=CASE_COUNTS!$D$10,CASE_COUNTS!D21,IF(INCUBATION!$E$27=CASE_COUNTS!$E$10,CASE_COUNTS!E21,CASE_COUNTS!C21)))</f>
        <v>0</v>
      </c>
      <c r="E415" s="89">
        <f>CASE_COUNTS!C21</f>
        <v>0</v>
      </c>
      <c r="F415" s="89">
        <f>CASE_COUNTS!D21</f>
        <v>0</v>
      </c>
      <c r="G415" s="89">
        <f>CASE_COUNTS!E21</f>
        <v>0</v>
      </c>
      <c r="H415" s="86">
        <f t="shared" si="296"/>
        <v>0</v>
      </c>
      <c r="I415" s="104" t="str">
        <f t="shared" si="295"/>
        <v xml:space="preserve"> </v>
      </c>
    </row>
    <row r="416" spans="2:9" x14ac:dyDescent="0.25">
      <c r="C416" s="83">
        <f ca="1">CASE_COUNTS!B22</f>
        <v>42620</v>
      </c>
      <c r="D416" s="89">
        <f>IF(INCUBATION!$E$27=CASE_COUNTS!$C$10,CASE_COUNTS!C22,IF(INCUBATION!$E$27=CASE_COUNTS!$D$10,CASE_COUNTS!D22,IF(INCUBATION!$E$27=CASE_COUNTS!$E$10,CASE_COUNTS!E22,CASE_COUNTS!C22)))</f>
        <v>0</v>
      </c>
      <c r="E416" s="89">
        <f>CASE_COUNTS!C22</f>
        <v>0</v>
      </c>
      <c r="F416" s="89">
        <f>CASE_COUNTS!D22</f>
        <v>0</v>
      </c>
      <c r="G416" s="89">
        <f>CASE_COUNTS!E22</f>
        <v>0</v>
      </c>
      <c r="H416" s="86">
        <f t="shared" si="296"/>
        <v>0</v>
      </c>
      <c r="I416" s="104" t="str">
        <f t="shared" si="295"/>
        <v xml:space="preserve"> </v>
      </c>
    </row>
    <row r="417" spans="3:9" x14ac:dyDescent="0.25">
      <c r="C417" s="83">
        <f ca="1">CASE_COUNTS!B23</f>
        <v>42621</v>
      </c>
      <c r="D417" s="89">
        <f>IF(INCUBATION!$E$27=CASE_COUNTS!$C$10,CASE_COUNTS!C23,IF(INCUBATION!$E$27=CASE_COUNTS!$D$10,CASE_COUNTS!D23,IF(INCUBATION!$E$27=CASE_COUNTS!$E$10,CASE_COUNTS!E23,CASE_COUNTS!C23)))</f>
        <v>0</v>
      </c>
      <c r="E417" s="89">
        <f>CASE_COUNTS!C23</f>
        <v>0</v>
      </c>
      <c r="F417" s="89">
        <f>CASE_COUNTS!D23</f>
        <v>0</v>
      </c>
      <c r="G417" s="89">
        <f>CASE_COUNTS!E23</f>
        <v>0</v>
      </c>
      <c r="H417" s="86">
        <f t="shared" si="296"/>
        <v>0</v>
      </c>
      <c r="I417" s="104" t="str">
        <f t="shared" si="295"/>
        <v xml:space="preserve"> </v>
      </c>
    </row>
    <row r="418" spans="3:9" x14ac:dyDescent="0.25">
      <c r="C418" s="83">
        <f ca="1">CASE_COUNTS!B24</f>
        <v>42622</v>
      </c>
      <c r="D418" s="89">
        <f>IF(INCUBATION!$E$27=CASE_COUNTS!$C$10,CASE_COUNTS!C24,IF(INCUBATION!$E$27=CASE_COUNTS!$D$10,CASE_COUNTS!D24,IF(INCUBATION!$E$27=CASE_COUNTS!$E$10,CASE_COUNTS!E24,CASE_COUNTS!C24)))</f>
        <v>0</v>
      </c>
      <c r="E418" s="89">
        <f>CASE_COUNTS!C24</f>
        <v>0</v>
      </c>
      <c r="F418" s="89">
        <f>CASE_COUNTS!D24</f>
        <v>0</v>
      </c>
      <c r="G418" s="89">
        <f>CASE_COUNTS!E24</f>
        <v>0</v>
      </c>
      <c r="H418" s="86">
        <f t="shared" si="296"/>
        <v>0</v>
      </c>
      <c r="I418" s="104" t="str">
        <f t="shared" si="295"/>
        <v xml:space="preserve"> </v>
      </c>
    </row>
    <row r="419" spans="3:9" x14ac:dyDescent="0.25">
      <c r="C419" s="83">
        <f ca="1">CASE_COUNTS!B25</f>
        <v>42623</v>
      </c>
      <c r="D419" s="89">
        <f>IF(INCUBATION!$E$27=CASE_COUNTS!$C$10,CASE_COUNTS!C25,IF(INCUBATION!$E$27=CASE_COUNTS!$D$10,CASE_COUNTS!D25,IF(INCUBATION!$E$27=CASE_COUNTS!$E$10,CASE_COUNTS!E25,CASE_COUNTS!C25)))</f>
        <v>0</v>
      </c>
      <c r="E419" s="89">
        <f>CASE_COUNTS!C25</f>
        <v>0</v>
      </c>
      <c r="F419" s="89">
        <f>CASE_COUNTS!D25</f>
        <v>0</v>
      </c>
      <c r="G419" s="89">
        <f>CASE_COUNTS!E25</f>
        <v>0</v>
      </c>
      <c r="H419" s="86">
        <f t="shared" si="296"/>
        <v>0</v>
      </c>
      <c r="I419" s="104" t="str">
        <f t="shared" si="295"/>
        <v xml:space="preserve"> </v>
      </c>
    </row>
    <row r="420" spans="3:9" x14ac:dyDescent="0.25">
      <c r="C420" s="83">
        <f ca="1">CASE_COUNTS!B26</f>
        <v>42624</v>
      </c>
      <c r="D420" s="89">
        <f>IF(INCUBATION!$E$27=CASE_COUNTS!$C$10,CASE_COUNTS!C26,IF(INCUBATION!$E$27=CASE_COUNTS!$D$10,CASE_COUNTS!D26,IF(INCUBATION!$E$27=CASE_COUNTS!$E$10,CASE_COUNTS!E26,CASE_COUNTS!C26)))</f>
        <v>0</v>
      </c>
      <c r="E420" s="89">
        <f>CASE_COUNTS!C26</f>
        <v>0</v>
      </c>
      <c r="F420" s="89">
        <f>CASE_COUNTS!D26</f>
        <v>0</v>
      </c>
      <c r="G420" s="89">
        <f>CASE_COUNTS!E26</f>
        <v>0</v>
      </c>
      <c r="H420" s="86">
        <f t="shared" si="296"/>
        <v>0</v>
      </c>
      <c r="I420" s="104" t="str">
        <f t="shared" si="295"/>
        <v xml:space="preserve"> </v>
      </c>
    </row>
    <row r="421" spans="3:9" x14ac:dyDescent="0.25">
      <c r="C421" s="83">
        <f ca="1">CASE_COUNTS!B27</f>
        <v>42625</v>
      </c>
      <c r="D421" s="89">
        <f>IF(INCUBATION!$E$27=CASE_COUNTS!$C$10,CASE_COUNTS!C27,IF(INCUBATION!$E$27=CASE_COUNTS!$D$10,CASE_COUNTS!D27,IF(INCUBATION!$E$27=CASE_COUNTS!$E$10,CASE_COUNTS!E27,CASE_COUNTS!C27)))</f>
        <v>0</v>
      </c>
      <c r="E421" s="89">
        <f>CASE_COUNTS!C27</f>
        <v>0</v>
      </c>
      <c r="F421" s="89">
        <f>CASE_COUNTS!D27</f>
        <v>0</v>
      </c>
      <c r="G421" s="89">
        <f>CASE_COUNTS!E27</f>
        <v>0</v>
      </c>
      <c r="H421" s="86">
        <f t="shared" si="296"/>
        <v>0</v>
      </c>
      <c r="I421" s="104" t="str">
        <f t="shared" si="295"/>
        <v xml:space="preserve"> </v>
      </c>
    </row>
    <row r="422" spans="3:9" x14ac:dyDescent="0.25">
      <c r="C422" s="83">
        <f ca="1">CASE_COUNTS!B28</f>
        <v>42626</v>
      </c>
      <c r="D422" s="89">
        <f>IF(INCUBATION!$E$27=CASE_COUNTS!$C$10,CASE_COUNTS!C28,IF(INCUBATION!$E$27=CASE_COUNTS!$D$10,CASE_COUNTS!D28,IF(INCUBATION!$E$27=CASE_COUNTS!$E$10,CASE_COUNTS!E28,CASE_COUNTS!C28)))</f>
        <v>0</v>
      </c>
      <c r="E422" s="89">
        <f>CASE_COUNTS!C28</f>
        <v>0</v>
      </c>
      <c r="F422" s="89">
        <f>CASE_COUNTS!D28</f>
        <v>0</v>
      </c>
      <c r="G422" s="89">
        <f>CASE_COUNTS!E28</f>
        <v>0</v>
      </c>
      <c r="H422" s="86">
        <f t="shared" si="296"/>
        <v>0</v>
      </c>
      <c r="I422" s="104" t="str">
        <f t="shared" si="295"/>
        <v xml:space="preserve"> </v>
      </c>
    </row>
    <row r="423" spans="3:9" x14ac:dyDescent="0.25">
      <c r="C423" s="83">
        <f ca="1">CASE_COUNTS!B29</f>
        <v>42627</v>
      </c>
      <c r="D423" s="89">
        <f>IF(INCUBATION!$E$27=CASE_COUNTS!$C$10,CASE_COUNTS!C29,IF(INCUBATION!$E$27=CASE_COUNTS!$D$10,CASE_COUNTS!D29,IF(INCUBATION!$E$27=CASE_COUNTS!$E$10,CASE_COUNTS!E29,CASE_COUNTS!C29)))</f>
        <v>0</v>
      </c>
      <c r="E423" s="89">
        <f>CASE_COUNTS!C29</f>
        <v>0</v>
      </c>
      <c r="F423" s="89">
        <f>CASE_COUNTS!D29</f>
        <v>0</v>
      </c>
      <c r="G423" s="89">
        <f>CASE_COUNTS!E29</f>
        <v>0</v>
      </c>
      <c r="H423" s="86">
        <f t="shared" si="296"/>
        <v>0</v>
      </c>
      <c r="I423" s="104" t="str">
        <f t="shared" si="295"/>
        <v xml:space="preserve"> </v>
      </c>
    </row>
    <row r="424" spans="3:9" x14ac:dyDescent="0.25">
      <c r="C424" s="83">
        <f ca="1">CASE_COUNTS!B30</f>
        <v>42628</v>
      </c>
      <c r="D424" s="89">
        <f>IF(INCUBATION!$E$27=CASE_COUNTS!$C$10,CASE_COUNTS!C30,IF(INCUBATION!$E$27=CASE_COUNTS!$D$10,CASE_COUNTS!D30,IF(INCUBATION!$E$27=CASE_COUNTS!$E$10,CASE_COUNTS!E30,CASE_COUNTS!C30)))</f>
        <v>0</v>
      </c>
      <c r="E424" s="89">
        <f>CASE_COUNTS!C30</f>
        <v>0</v>
      </c>
      <c r="F424" s="89">
        <f>CASE_COUNTS!D30</f>
        <v>0</v>
      </c>
      <c r="G424" s="89">
        <f>CASE_COUNTS!E30</f>
        <v>0</v>
      </c>
      <c r="H424" s="86">
        <f t="shared" si="296"/>
        <v>0</v>
      </c>
      <c r="I424" s="104" t="str">
        <f t="shared" si="295"/>
        <v xml:space="preserve"> </v>
      </c>
    </row>
    <row r="425" spans="3:9" x14ac:dyDescent="0.25">
      <c r="C425" s="83">
        <f ca="1">CASE_COUNTS!B31</f>
        <v>42629</v>
      </c>
      <c r="D425" s="89">
        <f>IF(INCUBATION!$E$27=CASE_COUNTS!$C$10,CASE_COUNTS!C31,IF(INCUBATION!$E$27=CASE_COUNTS!$D$10,CASE_COUNTS!D31,IF(INCUBATION!$E$27=CASE_COUNTS!$E$10,CASE_COUNTS!E31,CASE_COUNTS!C31)))</f>
        <v>0</v>
      </c>
      <c r="E425" s="89">
        <f>CASE_COUNTS!C31</f>
        <v>0</v>
      </c>
      <c r="F425" s="89">
        <f>CASE_COUNTS!D31</f>
        <v>0</v>
      </c>
      <c r="G425" s="89">
        <f>CASE_COUNTS!E31</f>
        <v>0</v>
      </c>
      <c r="H425" s="86">
        <f t="shared" si="296"/>
        <v>0</v>
      </c>
      <c r="I425" s="104" t="str">
        <f t="shared" si="295"/>
        <v xml:space="preserve"> </v>
      </c>
    </row>
    <row r="426" spans="3:9" x14ac:dyDescent="0.25">
      <c r="C426" s="83">
        <f ca="1">CASE_COUNTS!B32</f>
        <v>42630</v>
      </c>
      <c r="D426" s="89">
        <f>IF(INCUBATION!$E$27=CASE_COUNTS!$C$10,CASE_COUNTS!C32,IF(INCUBATION!$E$27=CASE_COUNTS!$D$10,CASE_COUNTS!D32,IF(INCUBATION!$E$27=CASE_COUNTS!$E$10,CASE_COUNTS!E32,CASE_COUNTS!C32)))</f>
        <v>0</v>
      </c>
      <c r="E426" s="89">
        <f>CASE_COUNTS!C32</f>
        <v>0</v>
      </c>
      <c r="F426" s="89">
        <f>CASE_COUNTS!D32</f>
        <v>0</v>
      </c>
      <c r="G426" s="89">
        <f>CASE_COUNTS!E32</f>
        <v>0</v>
      </c>
      <c r="H426" s="86">
        <f t="shared" si="296"/>
        <v>0</v>
      </c>
      <c r="I426" s="104" t="str">
        <f t="shared" si="295"/>
        <v xml:space="preserve"> </v>
      </c>
    </row>
    <row r="427" spans="3:9" x14ac:dyDescent="0.25">
      <c r="C427" s="83">
        <f ca="1">CASE_COUNTS!B33</f>
        <v>42631</v>
      </c>
      <c r="D427" s="89">
        <f>IF(INCUBATION!$E$27=CASE_COUNTS!$C$10,CASE_COUNTS!C33,IF(INCUBATION!$E$27=CASE_COUNTS!$D$10,CASE_COUNTS!D33,IF(INCUBATION!$E$27=CASE_COUNTS!$E$10,CASE_COUNTS!E33,CASE_COUNTS!C33)))</f>
        <v>0</v>
      </c>
      <c r="E427" s="89">
        <f>CASE_COUNTS!C33</f>
        <v>0</v>
      </c>
      <c r="F427" s="89">
        <f>CASE_COUNTS!D33</f>
        <v>0</v>
      </c>
      <c r="G427" s="89">
        <f>CASE_COUNTS!E33</f>
        <v>0</v>
      </c>
      <c r="H427" s="86">
        <f t="shared" si="296"/>
        <v>0</v>
      </c>
      <c r="I427" s="104" t="str">
        <f t="shared" si="295"/>
        <v xml:space="preserve"> </v>
      </c>
    </row>
    <row r="428" spans="3:9" x14ac:dyDescent="0.25">
      <c r="C428" s="83">
        <f ca="1">CASE_COUNTS!B34</f>
        <v>42632</v>
      </c>
      <c r="D428" s="89">
        <f>IF(INCUBATION!$E$27=CASE_COUNTS!$C$10,CASE_COUNTS!C34,IF(INCUBATION!$E$27=CASE_COUNTS!$D$10,CASE_COUNTS!D34,IF(INCUBATION!$E$27=CASE_COUNTS!$E$10,CASE_COUNTS!E34,CASE_COUNTS!C34)))</f>
        <v>0</v>
      </c>
      <c r="E428" s="89">
        <f>CASE_COUNTS!C34</f>
        <v>0</v>
      </c>
      <c r="F428" s="89">
        <f>CASE_COUNTS!D34</f>
        <v>0</v>
      </c>
      <c r="G428" s="89">
        <f>CASE_COUNTS!E34</f>
        <v>0</v>
      </c>
      <c r="H428" s="86">
        <f t="shared" si="296"/>
        <v>0</v>
      </c>
      <c r="I428" s="104" t="str">
        <f t="shared" si="295"/>
        <v xml:space="preserve"> </v>
      </c>
    </row>
    <row r="429" spans="3:9" x14ac:dyDescent="0.25">
      <c r="C429" s="83">
        <f ca="1">CASE_COUNTS!B35</f>
        <v>42633</v>
      </c>
      <c r="D429" s="89">
        <f>IF(INCUBATION!$E$27=CASE_COUNTS!$C$10,CASE_COUNTS!C35,IF(INCUBATION!$E$27=CASE_COUNTS!$D$10,CASE_COUNTS!D35,IF(INCUBATION!$E$27=CASE_COUNTS!$E$10,CASE_COUNTS!E35,CASE_COUNTS!C35)))</f>
        <v>0</v>
      </c>
      <c r="E429" s="89">
        <f>CASE_COUNTS!C35</f>
        <v>0</v>
      </c>
      <c r="F429" s="89">
        <f>CASE_COUNTS!D35</f>
        <v>0</v>
      </c>
      <c r="G429" s="89">
        <f>CASE_COUNTS!E35</f>
        <v>0</v>
      </c>
      <c r="H429" s="86">
        <f t="shared" si="296"/>
        <v>0</v>
      </c>
      <c r="I429" s="104" t="str">
        <f t="shared" si="295"/>
        <v xml:space="preserve"> </v>
      </c>
    </row>
    <row r="430" spans="3:9" x14ac:dyDescent="0.25">
      <c r="C430" s="83">
        <f ca="1">CASE_COUNTS!B36</f>
        <v>42634</v>
      </c>
      <c r="D430" s="89">
        <f>IF(INCUBATION!$E$27=CASE_COUNTS!$C$10,CASE_COUNTS!C36,IF(INCUBATION!$E$27=CASE_COUNTS!$D$10,CASE_COUNTS!D36,IF(INCUBATION!$E$27=CASE_COUNTS!$E$10,CASE_COUNTS!E36,CASE_COUNTS!C36)))</f>
        <v>0</v>
      </c>
      <c r="E430" s="89">
        <f>CASE_COUNTS!C36</f>
        <v>0</v>
      </c>
      <c r="F430" s="89">
        <f>CASE_COUNTS!D36</f>
        <v>0</v>
      </c>
      <c r="G430" s="89">
        <f>CASE_COUNTS!E36</f>
        <v>0</v>
      </c>
      <c r="H430" s="86">
        <f t="shared" si="296"/>
        <v>0</v>
      </c>
      <c r="I430" s="104" t="str">
        <f t="shared" si="295"/>
        <v xml:space="preserve"> </v>
      </c>
    </row>
    <row r="431" spans="3:9" x14ac:dyDescent="0.25">
      <c r="C431" s="83">
        <f ca="1">CASE_COUNTS!B37</f>
        <v>42635</v>
      </c>
      <c r="D431" s="89">
        <f>IF(INCUBATION!$E$27=CASE_COUNTS!$C$10,CASE_COUNTS!C37,IF(INCUBATION!$E$27=CASE_COUNTS!$D$10,CASE_COUNTS!D37,IF(INCUBATION!$E$27=CASE_COUNTS!$E$10,CASE_COUNTS!E37,CASE_COUNTS!C37)))</f>
        <v>0</v>
      </c>
      <c r="E431" s="89">
        <f>CASE_COUNTS!C37</f>
        <v>0</v>
      </c>
      <c r="F431" s="89">
        <f>CASE_COUNTS!D37</f>
        <v>0</v>
      </c>
      <c r="G431" s="89">
        <f>CASE_COUNTS!E37</f>
        <v>0</v>
      </c>
      <c r="H431" s="86">
        <f t="shared" si="296"/>
        <v>0</v>
      </c>
      <c r="I431" s="104" t="str">
        <f t="shared" si="295"/>
        <v xml:space="preserve"> </v>
      </c>
    </row>
    <row r="432" spans="3:9" x14ac:dyDescent="0.25">
      <c r="C432" s="83">
        <f ca="1">CASE_COUNTS!B38</f>
        <v>42636</v>
      </c>
      <c r="D432" s="89">
        <f>IF(INCUBATION!$E$27=CASE_COUNTS!$C$10,CASE_COUNTS!C38,IF(INCUBATION!$E$27=CASE_COUNTS!$D$10,CASE_COUNTS!D38,IF(INCUBATION!$E$27=CASE_COUNTS!$E$10,CASE_COUNTS!E38,CASE_COUNTS!C38)))</f>
        <v>0</v>
      </c>
      <c r="E432" s="89">
        <f>CASE_COUNTS!C38</f>
        <v>0</v>
      </c>
      <c r="F432" s="89">
        <f>CASE_COUNTS!D38</f>
        <v>0</v>
      </c>
      <c r="G432" s="89">
        <f>CASE_COUNTS!E38</f>
        <v>0</v>
      </c>
      <c r="H432" s="86">
        <f t="shared" si="296"/>
        <v>0</v>
      </c>
      <c r="I432" s="104" t="str">
        <f t="shared" si="295"/>
        <v xml:space="preserve"> </v>
      </c>
    </row>
    <row r="433" spans="3:9" x14ac:dyDescent="0.25">
      <c r="C433" s="83">
        <f ca="1">CASE_COUNTS!B39</f>
        <v>42637</v>
      </c>
      <c r="D433" s="89">
        <f>IF(INCUBATION!$E$27=CASE_COUNTS!$C$10,CASE_COUNTS!C39,IF(INCUBATION!$E$27=CASE_COUNTS!$D$10,CASE_COUNTS!D39,IF(INCUBATION!$E$27=CASE_COUNTS!$E$10,CASE_COUNTS!E39,CASE_COUNTS!C39)))</f>
        <v>0</v>
      </c>
      <c r="E433" s="89">
        <f>CASE_COUNTS!C39</f>
        <v>0</v>
      </c>
      <c r="F433" s="89">
        <f>CASE_COUNTS!D39</f>
        <v>0</v>
      </c>
      <c r="G433" s="89">
        <f>CASE_COUNTS!E39</f>
        <v>0</v>
      </c>
      <c r="H433" s="86">
        <f t="shared" si="296"/>
        <v>0</v>
      </c>
      <c r="I433" s="104" t="str">
        <f t="shared" si="295"/>
        <v xml:space="preserve"> </v>
      </c>
    </row>
    <row r="434" spans="3:9" x14ac:dyDescent="0.25">
      <c r="C434" s="83">
        <f ca="1">CASE_COUNTS!B40</f>
        <v>42638</v>
      </c>
      <c r="D434" s="89">
        <f>IF(INCUBATION!$E$27=CASE_COUNTS!$C$10,CASE_COUNTS!C40,IF(INCUBATION!$E$27=CASE_COUNTS!$D$10,CASE_COUNTS!D40,IF(INCUBATION!$E$27=CASE_COUNTS!$E$10,CASE_COUNTS!E40,CASE_COUNTS!C40)))</f>
        <v>0</v>
      </c>
      <c r="E434" s="89">
        <f>CASE_COUNTS!C40</f>
        <v>0</v>
      </c>
      <c r="F434" s="89">
        <f>CASE_COUNTS!D40</f>
        <v>0</v>
      </c>
      <c r="G434" s="89">
        <f>CASE_COUNTS!E40</f>
        <v>0</v>
      </c>
      <c r="H434" s="86">
        <f t="shared" si="296"/>
        <v>0</v>
      </c>
      <c r="I434" s="104" t="str">
        <f t="shared" si="295"/>
        <v xml:space="preserve"> </v>
      </c>
    </row>
    <row r="435" spans="3:9" x14ac:dyDescent="0.25">
      <c r="C435" s="83">
        <f ca="1">CASE_COUNTS!B41</f>
        <v>42639</v>
      </c>
      <c r="D435" s="89">
        <f>IF(INCUBATION!$E$27=CASE_COUNTS!$C$10,CASE_COUNTS!C41,IF(INCUBATION!$E$27=CASE_COUNTS!$D$10,CASE_COUNTS!D41,IF(INCUBATION!$E$27=CASE_COUNTS!$E$10,CASE_COUNTS!E41,CASE_COUNTS!C41)))</f>
        <v>0</v>
      </c>
      <c r="E435" s="89">
        <f>CASE_COUNTS!C41</f>
        <v>0</v>
      </c>
      <c r="F435" s="89">
        <f>CASE_COUNTS!D41</f>
        <v>0</v>
      </c>
      <c r="G435" s="89">
        <f>CASE_COUNTS!E41</f>
        <v>0</v>
      </c>
      <c r="H435" s="86">
        <f t="shared" si="296"/>
        <v>0</v>
      </c>
      <c r="I435" s="104" t="str">
        <f t="shared" si="295"/>
        <v xml:space="preserve"> </v>
      </c>
    </row>
    <row r="436" spans="3:9" x14ac:dyDescent="0.25">
      <c r="C436" s="83">
        <f ca="1">CASE_COUNTS!B42</f>
        <v>42640</v>
      </c>
      <c r="D436" s="89">
        <f>IF(INCUBATION!$E$27=CASE_COUNTS!$C$10,CASE_COUNTS!C42,IF(INCUBATION!$E$27=CASE_COUNTS!$D$10,CASE_COUNTS!D42,IF(INCUBATION!$E$27=CASE_COUNTS!$E$10,CASE_COUNTS!E42,CASE_COUNTS!C42)))</f>
        <v>0</v>
      </c>
      <c r="E436" s="89">
        <f>CASE_COUNTS!C42</f>
        <v>0</v>
      </c>
      <c r="F436" s="89">
        <f>CASE_COUNTS!D42</f>
        <v>0</v>
      </c>
      <c r="G436" s="89">
        <f>CASE_COUNTS!E42</f>
        <v>0</v>
      </c>
      <c r="H436" s="86">
        <f t="shared" si="296"/>
        <v>0</v>
      </c>
      <c r="I436" s="104" t="str">
        <f t="shared" si="295"/>
        <v xml:space="preserve"> </v>
      </c>
    </row>
    <row r="437" spans="3:9" x14ac:dyDescent="0.25">
      <c r="C437" s="83">
        <f ca="1">CASE_COUNTS!B43</f>
        <v>42641</v>
      </c>
      <c r="D437" s="89">
        <f>IF(INCUBATION!$E$27=CASE_COUNTS!$C$10,CASE_COUNTS!C43,IF(INCUBATION!$E$27=CASE_COUNTS!$D$10,CASE_COUNTS!D43,IF(INCUBATION!$E$27=CASE_COUNTS!$E$10,CASE_COUNTS!E43,CASE_COUNTS!C43)))</f>
        <v>0</v>
      </c>
      <c r="E437" s="89">
        <f>CASE_COUNTS!C43</f>
        <v>0</v>
      </c>
      <c r="F437" s="89">
        <f>CASE_COUNTS!D43</f>
        <v>0</v>
      </c>
      <c r="G437" s="89">
        <f>CASE_COUNTS!E43</f>
        <v>0</v>
      </c>
      <c r="H437" s="86">
        <f t="shared" si="296"/>
        <v>0</v>
      </c>
      <c r="I437" s="104" t="str">
        <f t="shared" ref="I437:I468" si="297">IF(H437=0," ",C437)</f>
        <v xml:space="preserve"> </v>
      </c>
    </row>
    <row r="438" spans="3:9" x14ac:dyDescent="0.25">
      <c r="C438" s="83">
        <f ca="1">CASE_COUNTS!B44</f>
        <v>42642</v>
      </c>
      <c r="D438" s="89">
        <f>IF(INCUBATION!$E$27=CASE_COUNTS!$C$10,CASE_COUNTS!C44,IF(INCUBATION!$E$27=CASE_COUNTS!$D$10,CASE_COUNTS!D44,IF(INCUBATION!$E$27=CASE_COUNTS!$E$10,CASE_COUNTS!E44,CASE_COUNTS!C44)))</f>
        <v>0</v>
      </c>
      <c r="E438" s="89">
        <f>CASE_COUNTS!C44</f>
        <v>0</v>
      </c>
      <c r="F438" s="89">
        <f>CASE_COUNTS!D44</f>
        <v>0</v>
      </c>
      <c r="G438" s="89">
        <f>CASE_COUNTS!E44</f>
        <v>0</v>
      </c>
      <c r="H438" s="86">
        <f t="shared" si="296"/>
        <v>0</v>
      </c>
      <c r="I438" s="104" t="str">
        <f t="shared" si="297"/>
        <v xml:space="preserve"> </v>
      </c>
    </row>
    <row r="439" spans="3:9" x14ac:dyDescent="0.25">
      <c r="C439" s="83">
        <f ca="1">CASE_COUNTS!B45</f>
        <v>42643</v>
      </c>
      <c r="D439" s="89">
        <f>IF(INCUBATION!$E$27=CASE_COUNTS!$C$10,CASE_COUNTS!C45,IF(INCUBATION!$E$27=CASE_COUNTS!$D$10,CASE_COUNTS!D45,IF(INCUBATION!$E$27=CASE_COUNTS!$E$10,CASE_COUNTS!E45,CASE_COUNTS!C45)))</f>
        <v>0</v>
      </c>
      <c r="E439" s="89">
        <f>CASE_COUNTS!C45</f>
        <v>0</v>
      </c>
      <c r="F439" s="89">
        <f>CASE_COUNTS!D45</f>
        <v>0</v>
      </c>
      <c r="G439" s="89">
        <f>CASE_COUNTS!E45</f>
        <v>0</v>
      </c>
      <c r="H439" s="86">
        <f t="shared" si="296"/>
        <v>0</v>
      </c>
      <c r="I439" s="104" t="str">
        <f t="shared" si="297"/>
        <v xml:space="preserve"> </v>
      </c>
    </row>
    <row r="440" spans="3:9" x14ac:dyDescent="0.25">
      <c r="C440" s="83">
        <f ca="1">CASE_COUNTS!B46</f>
        <v>42644</v>
      </c>
      <c r="D440" s="89">
        <f>IF(INCUBATION!$E$27=CASE_COUNTS!$C$10,CASE_COUNTS!C46,IF(INCUBATION!$E$27=CASE_COUNTS!$D$10,CASE_COUNTS!D46,IF(INCUBATION!$E$27=CASE_COUNTS!$E$10,CASE_COUNTS!E46,CASE_COUNTS!C46)))</f>
        <v>0</v>
      </c>
      <c r="E440" s="89">
        <f>CASE_COUNTS!C46</f>
        <v>0</v>
      </c>
      <c r="F440" s="89">
        <f>CASE_COUNTS!D46</f>
        <v>0</v>
      </c>
      <c r="G440" s="89">
        <f>CASE_COUNTS!E46</f>
        <v>0</v>
      </c>
      <c r="H440" s="86">
        <f t="shared" si="296"/>
        <v>0</v>
      </c>
      <c r="I440" s="104" t="str">
        <f t="shared" si="297"/>
        <v xml:space="preserve"> </v>
      </c>
    </row>
    <row r="441" spans="3:9" x14ac:dyDescent="0.25">
      <c r="C441" s="83">
        <f ca="1">CASE_COUNTS!B47</f>
        <v>42645</v>
      </c>
      <c r="D441" s="89">
        <f>IF(INCUBATION!$E$27=CASE_COUNTS!$C$10,CASE_COUNTS!C47,IF(INCUBATION!$E$27=CASE_COUNTS!$D$10,CASE_COUNTS!D47,IF(INCUBATION!$E$27=CASE_COUNTS!$E$10,CASE_COUNTS!E47,CASE_COUNTS!C47)))</f>
        <v>0</v>
      </c>
      <c r="E441" s="89">
        <f>CASE_COUNTS!C47</f>
        <v>0</v>
      </c>
      <c r="F441" s="89">
        <f>CASE_COUNTS!D47</f>
        <v>0</v>
      </c>
      <c r="G441" s="89">
        <f>CASE_COUNTS!E47</f>
        <v>0</v>
      </c>
      <c r="H441" s="86">
        <f t="shared" si="296"/>
        <v>0</v>
      </c>
      <c r="I441" s="104" t="str">
        <f t="shared" si="297"/>
        <v xml:space="preserve"> </v>
      </c>
    </row>
    <row r="442" spans="3:9" x14ac:dyDescent="0.25">
      <c r="C442" s="83">
        <f ca="1">CASE_COUNTS!B48</f>
        <v>42646</v>
      </c>
      <c r="D442" s="89">
        <f>IF(INCUBATION!$E$27=CASE_COUNTS!$C$10,CASE_COUNTS!C48,IF(INCUBATION!$E$27=CASE_COUNTS!$D$10,CASE_COUNTS!D48,IF(INCUBATION!$E$27=CASE_COUNTS!$E$10,CASE_COUNTS!E48,CASE_COUNTS!C48)))</f>
        <v>0</v>
      </c>
      <c r="E442" s="89">
        <f>CASE_COUNTS!C48</f>
        <v>0</v>
      </c>
      <c r="F442" s="89">
        <f>CASE_COUNTS!D48</f>
        <v>0</v>
      </c>
      <c r="G442" s="89">
        <f>CASE_COUNTS!E48</f>
        <v>0</v>
      </c>
      <c r="H442" s="86">
        <f t="shared" si="296"/>
        <v>0</v>
      </c>
      <c r="I442" s="104" t="str">
        <f t="shared" si="297"/>
        <v xml:space="preserve"> </v>
      </c>
    </row>
    <row r="443" spans="3:9" x14ac:dyDescent="0.25">
      <c r="C443" s="83">
        <f ca="1">CASE_COUNTS!B49</f>
        <v>42647</v>
      </c>
      <c r="D443" s="89">
        <f>IF(INCUBATION!$E$27=CASE_COUNTS!$C$10,CASE_COUNTS!C49,IF(INCUBATION!$E$27=CASE_COUNTS!$D$10,CASE_COUNTS!D49,IF(INCUBATION!$E$27=CASE_COUNTS!$E$10,CASE_COUNTS!E49,CASE_COUNTS!C49)))</f>
        <v>0</v>
      </c>
      <c r="E443" s="89">
        <f>CASE_COUNTS!C49</f>
        <v>0</v>
      </c>
      <c r="F443" s="89">
        <f>CASE_COUNTS!D49</f>
        <v>0</v>
      </c>
      <c r="G443" s="89">
        <f>CASE_COUNTS!E49</f>
        <v>0</v>
      </c>
      <c r="H443" s="86">
        <f t="shared" si="296"/>
        <v>0</v>
      </c>
      <c r="I443" s="104" t="str">
        <f t="shared" si="297"/>
        <v xml:space="preserve"> </v>
      </c>
    </row>
    <row r="444" spans="3:9" x14ac:dyDescent="0.25">
      <c r="C444" s="83">
        <f ca="1">CASE_COUNTS!B50</f>
        <v>42648</v>
      </c>
      <c r="D444" s="89">
        <f>IF(INCUBATION!$E$27=CASE_COUNTS!$C$10,CASE_COUNTS!C50,IF(INCUBATION!$E$27=CASE_COUNTS!$D$10,CASE_COUNTS!D50,IF(INCUBATION!$E$27=CASE_COUNTS!$E$10,CASE_COUNTS!E50,CASE_COUNTS!C50)))</f>
        <v>0</v>
      </c>
      <c r="E444" s="89">
        <f>CASE_COUNTS!C50</f>
        <v>0</v>
      </c>
      <c r="F444" s="89">
        <f>CASE_COUNTS!D50</f>
        <v>0</v>
      </c>
      <c r="G444" s="89">
        <f>CASE_COUNTS!E50</f>
        <v>0</v>
      </c>
      <c r="H444" s="86">
        <f t="shared" si="296"/>
        <v>0</v>
      </c>
      <c r="I444" s="104" t="str">
        <f t="shared" si="297"/>
        <v xml:space="preserve"> </v>
      </c>
    </row>
    <row r="445" spans="3:9" x14ac:dyDescent="0.25">
      <c r="C445" s="83">
        <f ca="1">CASE_COUNTS!B51</f>
        <v>42649</v>
      </c>
      <c r="D445" s="89">
        <f>IF(INCUBATION!$E$27=CASE_COUNTS!$C$10,CASE_COUNTS!C51,IF(INCUBATION!$E$27=CASE_COUNTS!$D$10,CASE_COUNTS!D51,IF(INCUBATION!$E$27=CASE_COUNTS!$E$10,CASE_COUNTS!E51,CASE_COUNTS!C51)))</f>
        <v>0</v>
      </c>
      <c r="E445" s="89">
        <f>CASE_COUNTS!C51</f>
        <v>0</v>
      </c>
      <c r="F445" s="89">
        <f>CASE_COUNTS!D51</f>
        <v>0</v>
      </c>
      <c r="G445" s="89">
        <f>CASE_COUNTS!E51</f>
        <v>0</v>
      </c>
      <c r="H445" s="86">
        <f t="shared" si="296"/>
        <v>0</v>
      </c>
      <c r="I445" s="104" t="str">
        <f t="shared" si="297"/>
        <v xml:space="preserve"> </v>
      </c>
    </row>
    <row r="446" spans="3:9" x14ac:dyDescent="0.25">
      <c r="C446" s="83">
        <f ca="1">CASE_COUNTS!B52</f>
        <v>42650</v>
      </c>
      <c r="D446" s="89">
        <f>IF(INCUBATION!$E$27=CASE_COUNTS!$C$10,CASE_COUNTS!C52,IF(INCUBATION!$E$27=CASE_COUNTS!$D$10,CASE_COUNTS!D52,IF(INCUBATION!$E$27=CASE_COUNTS!$E$10,CASE_COUNTS!E52,CASE_COUNTS!C52)))</f>
        <v>0</v>
      </c>
      <c r="E446" s="89">
        <f>CASE_COUNTS!C52</f>
        <v>0</v>
      </c>
      <c r="F446" s="89">
        <f>CASE_COUNTS!D52</f>
        <v>0</v>
      </c>
      <c r="G446" s="89">
        <f>CASE_COUNTS!E52</f>
        <v>0</v>
      </c>
      <c r="H446" s="86">
        <f t="shared" si="296"/>
        <v>0</v>
      </c>
      <c r="I446" s="104" t="str">
        <f t="shared" si="297"/>
        <v xml:space="preserve"> </v>
      </c>
    </row>
    <row r="447" spans="3:9" x14ac:dyDescent="0.25">
      <c r="C447" s="83">
        <f ca="1">CASE_COUNTS!B53</f>
        <v>42651</v>
      </c>
      <c r="D447" s="89">
        <f>IF(INCUBATION!$E$27=CASE_COUNTS!$C$10,CASE_COUNTS!C53,IF(INCUBATION!$E$27=CASE_COUNTS!$D$10,CASE_COUNTS!D53,IF(INCUBATION!$E$27=CASE_COUNTS!$E$10,CASE_COUNTS!E53,CASE_COUNTS!C53)))</f>
        <v>0</v>
      </c>
      <c r="E447" s="89">
        <f>CASE_COUNTS!C53</f>
        <v>0</v>
      </c>
      <c r="F447" s="89">
        <f>CASE_COUNTS!D53</f>
        <v>0</v>
      </c>
      <c r="G447" s="89">
        <f>CASE_COUNTS!E53</f>
        <v>0</v>
      </c>
      <c r="H447" s="86">
        <f t="shared" si="296"/>
        <v>0</v>
      </c>
      <c r="I447" s="104" t="str">
        <f t="shared" si="297"/>
        <v xml:space="preserve"> </v>
      </c>
    </row>
    <row r="448" spans="3:9" x14ac:dyDescent="0.25">
      <c r="C448" s="83">
        <f ca="1">CASE_COUNTS!B54</f>
        <v>42652</v>
      </c>
      <c r="D448" s="89">
        <f>IF(INCUBATION!$E$27=CASE_COUNTS!$C$10,CASE_COUNTS!C54,IF(INCUBATION!$E$27=CASE_COUNTS!$D$10,CASE_COUNTS!D54,IF(INCUBATION!$E$27=CASE_COUNTS!$E$10,CASE_COUNTS!E54,CASE_COUNTS!C54)))</f>
        <v>0</v>
      </c>
      <c r="E448" s="89">
        <f>CASE_COUNTS!C54</f>
        <v>0</v>
      </c>
      <c r="F448" s="89">
        <f>CASE_COUNTS!D54</f>
        <v>0</v>
      </c>
      <c r="G448" s="89">
        <f>CASE_COUNTS!E54</f>
        <v>0</v>
      </c>
      <c r="H448" s="86">
        <f t="shared" si="296"/>
        <v>0</v>
      </c>
      <c r="I448" s="104" t="str">
        <f t="shared" si="297"/>
        <v xml:space="preserve"> </v>
      </c>
    </row>
    <row r="449" spans="3:9" x14ac:dyDescent="0.25">
      <c r="C449" s="83">
        <f ca="1">CASE_COUNTS!B55</f>
        <v>42653</v>
      </c>
      <c r="D449" s="89">
        <f>IF(INCUBATION!$E$27=CASE_COUNTS!$C$10,CASE_COUNTS!C55,IF(INCUBATION!$E$27=CASE_COUNTS!$D$10,CASE_COUNTS!D55,IF(INCUBATION!$E$27=CASE_COUNTS!$E$10,CASE_COUNTS!E55,CASE_COUNTS!C55)))</f>
        <v>0</v>
      </c>
      <c r="E449" s="89">
        <f>CASE_COUNTS!C55</f>
        <v>0</v>
      </c>
      <c r="F449" s="89">
        <f>CASE_COUNTS!D55</f>
        <v>0</v>
      </c>
      <c r="G449" s="89">
        <f>CASE_COUNTS!E55</f>
        <v>0</v>
      </c>
      <c r="H449" s="86">
        <f t="shared" si="296"/>
        <v>0</v>
      </c>
      <c r="I449" s="104" t="str">
        <f t="shared" si="297"/>
        <v xml:space="preserve"> </v>
      </c>
    </row>
    <row r="450" spans="3:9" x14ac:dyDescent="0.25">
      <c r="C450" s="83">
        <f ca="1">CASE_COUNTS!B56</f>
        <v>42654</v>
      </c>
      <c r="D450" s="89">
        <f>IF(INCUBATION!$E$27=CASE_COUNTS!$C$10,CASE_COUNTS!C56,IF(INCUBATION!$E$27=CASE_COUNTS!$D$10,CASE_COUNTS!D56,IF(INCUBATION!$E$27=CASE_COUNTS!$E$10,CASE_COUNTS!E56,CASE_COUNTS!C56)))</f>
        <v>0</v>
      </c>
      <c r="E450" s="89">
        <f>CASE_COUNTS!C56</f>
        <v>0</v>
      </c>
      <c r="F450" s="89">
        <f>CASE_COUNTS!D56</f>
        <v>0</v>
      </c>
      <c r="G450" s="89">
        <f>CASE_COUNTS!E56</f>
        <v>0</v>
      </c>
      <c r="H450" s="86">
        <f t="shared" si="296"/>
        <v>0</v>
      </c>
      <c r="I450" s="104" t="str">
        <f t="shared" si="297"/>
        <v xml:space="preserve"> </v>
      </c>
    </row>
    <row r="451" spans="3:9" x14ac:dyDescent="0.25">
      <c r="C451" s="83">
        <f ca="1">CASE_COUNTS!B57</f>
        <v>42655</v>
      </c>
      <c r="D451" s="89">
        <f>IF(INCUBATION!$E$27=CASE_COUNTS!$C$10,CASE_COUNTS!C57,IF(INCUBATION!$E$27=CASE_COUNTS!$D$10,CASE_COUNTS!D57,IF(INCUBATION!$E$27=CASE_COUNTS!$E$10,CASE_COUNTS!E57,CASE_COUNTS!C57)))</f>
        <v>0</v>
      </c>
      <c r="E451" s="89">
        <f>CASE_COUNTS!C57</f>
        <v>0</v>
      </c>
      <c r="F451" s="89">
        <f>CASE_COUNTS!D57</f>
        <v>0</v>
      </c>
      <c r="G451" s="89">
        <f>CASE_COUNTS!E57</f>
        <v>0</v>
      </c>
      <c r="H451" s="86">
        <f t="shared" si="296"/>
        <v>0</v>
      </c>
      <c r="I451" s="104" t="str">
        <f t="shared" si="297"/>
        <v xml:space="preserve"> </v>
      </c>
    </row>
    <row r="452" spans="3:9" x14ac:dyDescent="0.25">
      <c r="C452" s="83">
        <f ca="1">CASE_COUNTS!B58</f>
        <v>42656</v>
      </c>
      <c r="D452" s="89">
        <f>IF(INCUBATION!$E$27=CASE_COUNTS!$C$10,CASE_COUNTS!C58,IF(INCUBATION!$E$27=CASE_COUNTS!$D$10,CASE_COUNTS!D58,IF(INCUBATION!$E$27=CASE_COUNTS!$E$10,CASE_COUNTS!E58,CASE_COUNTS!C58)))</f>
        <v>0</v>
      </c>
      <c r="E452" s="89">
        <f>CASE_COUNTS!C58</f>
        <v>0</v>
      </c>
      <c r="F452" s="89">
        <f>CASE_COUNTS!D58</f>
        <v>0</v>
      </c>
      <c r="G452" s="89">
        <f>CASE_COUNTS!E58</f>
        <v>0</v>
      </c>
      <c r="H452" s="86">
        <f t="shared" si="296"/>
        <v>0</v>
      </c>
      <c r="I452" s="104" t="str">
        <f t="shared" si="297"/>
        <v xml:space="preserve"> </v>
      </c>
    </row>
    <row r="453" spans="3:9" x14ac:dyDescent="0.25">
      <c r="C453" s="83">
        <f ca="1">CASE_COUNTS!B59</f>
        <v>42657</v>
      </c>
      <c r="D453" s="89">
        <f>IF(INCUBATION!$E$27=CASE_COUNTS!$C$10,CASE_COUNTS!C59,IF(INCUBATION!$E$27=CASE_COUNTS!$D$10,CASE_COUNTS!D59,IF(INCUBATION!$E$27=CASE_COUNTS!$E$10,CASE_COUNTS!E59,CASE_COUNTS!C59)))</f>
        <v>0</v>
      </c>
      <c r="E453" s="89">
        <f>CASE_COUNTS!C59</f>
        <v>0</v>
      </c>
      <c r="F453" s="89">
        <f>CASE_COUNTS!D59</f>
        <v>0</v>
      </c>
      <c r="G453" s="89">
        <f>CASE_COUNTS!E59</f>
        <v>0</v>
      </c>
      <c r="H453" s="86">
        <f t="shared" si="296"/>
        <v>0</v>
      </c>
      <c r="I453" s="104" t="str">
        <f t="shared" si="297"/>
        <v xml:space="preserve"> </v>
      </c>
    </row>
    <row r="454" spans="3:9" x14ac:dyDescent="0.25">
      <c r="C454" s="83">
        <f ca="1">CASE_COUNTS!B60</f>
        <v>42658</v>
      </c>
      <c r="D454" s="89">
        <f>IF(INCUBATION!$E$27=CASE_COUNTS!$C$10,CASE_COUNTS!C60,IF(INCUBATION!$E$27=CASE_COUNTS!$D$10,CASE_COUNTS!D60,IF(INCUBATION!$E$27=CASE_COUNTS!$E$10,CASE_COUNTS!E60,CASE_COUNTS!C60)))</f>
        <v>0</v>
      </c>
      <c r="E454" s="89">
        <f>CASE_COUNTS!C60</f>
        <v>0</v>
      </c>
      <c r="F454" s="89">
        <f>CASE_COUNTS!D60</f>
        <v>0</v>
      </c>
      <c r="G454" s="89">
        <f>CASE_COUNTS!E60</f>
        <v>0</v>
      </c>
      <c r="H454" s="86">
        <f t="shared" si="296"/>
        <v>0</v>
      </c>
      <c r="I454" s="104" t="str">
        <f t="shared" si="297"/>
        <v xml:space="preserve"> </v>
      </c>
    </row>
    <row r="455" spans="3:9" x14ac:dyDescent="0.25">
      <c r="C455" s="83">
        <f ca="1">CASE_COUNTS!B61</f>
        <v>42659</v>
      </c>
      <c r="D455" s="89">
        <f>IF(INCUBATION!$E$27=CASE_COUNTS!$C$10,CASE_COUNTS!C61,IF(INCUBATION!$E$27=CASE_COUNTS!$D$10,CASE_COUNTS!D61,IF(INCUBATION!$E$27=CASE_COUNTS!$E$10,CASE_COUNTS!E61,CASE_COUNTS!C61)))</f>
        <v>0</v>
      </c>
      <c r="E455" s="89">
        <f>CASE_COUNTS!C61</f>
        <v>0</v>
      </c>
      <c r="F455" s="89">
        <f>CASE_COUNTS!D61</f>
        <v>0</v>
      </c>
      <c r="G455" s="89">
        <f>CASE_COUNTS!E61</f>
        <v>0</v>
      </c>
      <c r="H455" s="86">
        <f t="shared" si="296"/>
        <v>0</v>
      </c>
      <c r="I455" s="104" t="str">
        <f t="shared" si="297"/>
        <v xml:space="preserve"> </v>
      </c>
    </row>
    <row r="456" spans="3:9" x14ac:dyDescent="0.25">
      <c r="C456" s="83">
        <f ca="1">CASE_COUNTS!B62</f>
        <v>42660</v>
      </c>
      <c r="D456" s="89">
        <f>IF(INCUBATION!$E$27=CASE_COUNTS!$C$10,CASE_COUNTS!C62,IF(INCUBATION!$E$27=CASE_COUNTS!$D$10,CASE_COUNTS!D62,IF(INCUBATION!$E$27=CASE_COUNTS!$E$10,CASE_COUNTS!E62,CASE_COUNTS!C62)))</f>
        <v>0</v>
      </c>
      <c r="E456" s="89">
        <f>CASE_COUNTS!C62</f>
        <v>0</v>
      </c>
      <c r="F456" s="89">
        <f>CASE_COUNTS!D62</f>
        <v>0</v>
      </c>
      <c r="G456" s="89">
        <f>CASE_COUNTS!E62</f>
        <v>0</v>
      </c>
      <c r="H456" s="86">
        <f t="shared" si="296"/>
        <v>0</v>
      </c>
      <c r="I456" s="104" t="str">
        <f t="shared" si="297"/>
        <v xml:space="preserve"> </v>
      </c>
    </row>
    <row r="457" spans="3:9" x14ac:dyDescent="0.25">
      <c r="C457" s="83">
        <f ca="1">CASE_COUNTS!B63</f>
        <v>42661</v>
      </c>
      <c r="D457" s="89">
        <f>IF(INCUBATION!$E$27=CASE_COUNTS!$C$10,CASE_COUNTS!C63,IF(INCUBATION!$E$27=CASE_COUNTS!$D$10,CASE_COUNTS!D63,IF(INCUBATION!$E$27=CASE_COUNTS!$E$10,CASE_COUNTS!E63,CASE_COUNTS!C63)))</f>
        <v>0</v>
      </c>
      <c r="E457" s="89">
        <f>CASE_COUNTS!C63</f>
        <v>0</v>
      </c>
      <c r="F457" s="89">
        <f>CASE_COUNTS!D63</f>
        <v>0</v>
      </c>
      <c r="G457" s="89">
        <f>CASE_COUNTS!E63</f>
        <v>0</v>
      </c>
      <c r="H457" s="86">
        <f t="shared" si="296"/>
        <v>0</v>
      </c>
      <c r="I457" s="104" t="str">
        <f t="shared" si="297"/>
        <v xml:space="preserve"> </v>
      </c>
    </row>
    <row r="458" spans="3:9" x14ac:dyDescent="0.25">
      <c r="C458" s="83">
        <f ca="1">CASE_COUNTS!B64</f>
        <v>42662</v>
      </c>
      <c r="D458" s="89">
        <f>IF(INCUBATION!$E$27=CASE_COUNTS!$C$10,CASE_COUNTS!C64,IF(INCUBATION!$E$27=CASE_COUNTS!$D$10,CASE_COUNTS!D64,IF(INCUBATION!$E$27=CASE_COUNTS!$E$10,CASE_COUNTS!E64,CASE_COUNTS!C64)))</f>
        <v>0</v>
      </c>
      <c r="E458" s="89">
        <f>CASE_COUNTS!C64</f>
        <v>0</v>
      </c>
      <c r="F458" s="89">
        <f>CASE_COUNTS!D64</f>
        <v>0</v>
      </c>
      <c r="G458" s="89">
        <f>CASE_COUNTS!E64</f>
        <v>0</v>
      </c>
      <c r="H458" s="86">
        <f t="shared" si="296"/>
        <v>0</v>
      </c>
      <c r="I458" s="104" t="str">
        <f t="shared" si="297"/>
        <v xml:space="preserve"> </v>
      </c>
    </row>
    <row r="459" spans="3:9" x14ac:dyDescent="0.25">
      <c r="C459" s="83">
        <f ca="1">CASE_COUNTS!B65</f>
        <v>42663</v>
      </c>
      <c r="D459" s="89">
        <f>IF(INCUBATION!$E$27=CASE_COUNTS!$C$10,CASE_COUNTS!C65,IF(INCUBATION!$E$27=CASE_COUNTS!$D$10,CASE_COUNTS!D65,IF(INCUBATION!$E$27=CASE_COUNTS!$E$10,CASE_COUNTS!E65,CASE_COUNTS!C65)))</f>
        <v>0</v>
      </c>
      <c r="E459" s="89">
        <f>CASE_COUNTS!C65</f>
        <v>0</v>
      </c>
      <c r="F459" s="89">
        <f>CASE_COUNTS!D65</f>
        <v>0</v>
      </c>
      <c r="G459" s="89">
        <f>CASE_COUNTS!E65</f>
        <v>0</v>
      </c>
      <c r="H459" s="86">
        <f t="shared" si="296"/>
        <v>0</v>
      </c>
      <c r="I459" s="104" t="str">
        <f t="shared" si="297"/>
        <v xml:space="preserve"> </v>
      </c>
    </row>
    <row r="460" spans="3:9" x14ac:dyDescent="0.25">
      <c r="C460" s="83">
        <f ca="1">CASE_COUNTS!B66</f>
        <v>42664</v>
      </c>
      <c r="D460" s="89">
        <f>IF(INCUBATION!$E$27=CASE_COUNTS!$C$10,CASE_COUNTS!C66,IF(INCUBATION!$E$27=CASE_COUNTS!$D$10,CASE_COUNTS!D66,IF(INCUBATION!$E$27=CASE_COUNTS!$E$10,CASE_COUNTS!E66,CASE_COUNTS!C66)))</f>
        <v>0</v>
      </c>
      <c r="E460" s="89">
        <f>CASE_COUNTS!C66</f>
        <v>0</v>
      </c>
      <c r="F460" s="89">
        <f>CASE_COUNTS!D66</f>
        <v>0</v>
      </c>
      <c r="G460" s="89">
        <f>CASE_COUNTS!E66</f>
        <v>0</v>
      </c>
      <c r="H460" s="86">
        <f t="shared" si="296"/>
        <v>0</v>
      </c>
      <c r="I460" s="104" t="str">
        <f t="shared" si="297"/>
        <v xml:space="preserve"> </v>
      </c>
    </row>
    <row r="461" spans="3:9" x14ac:dyDescent="0.25">
      <c r="C461" s="83">
        <f ca="1">CASE_COUNTS!B67</f>
        <v>42665</v>
      </c>
      <c r="D461" s="89">
        <f>IF(INCUBATION!$E$27=CASE_COUNTS!$C$10,CASE_COUNTS!C67,IF(INCUBATION!$E$27=CASE_COUNTS!$D$10,CASE_COUNTS!D67,IF(INCUBATION!$E$27=CASE_COUNTS!$E$10,CASE_COUNTS!E67,CASE_COUNTS!C67)))</f>
        <v>0</v>
      </c>
      <c r="E461" s="89">
        <f>CASE_COUNTS!C67</f>
        <v>0</v>
      </c>
      <c r="F461" s="89">
        <f>CASE_COUNTS!D67</f>
        <v>0</v>
      </c>
      <c r="G461" s="89">
        <f>CASE_COUNTS!E67</f>
        <v>0</v>
      </c>
      <c r="H461" s="86">
        <f t="shared" si="296"/>
        <v>0</v>
      </c>
      <c r="I461" s="104" t="str">
        <f t="shared" si="297"/>
        <v xml:space="preserve"> </v>
      </c>
    </row>
    <row r="462" spans="3:9" x14ac:dyDescent="0.25">
      <c r="C462" s="83">
        <f ca="1">CASE_COUNTS!B68</f>
        <v>42666</v>
      </c>
      <c r="D462" s="89">
        <f>IF(INCUBATION!$E$27=CASE_COUNTS!$C$10,CASE_COUNTS!C68,IF(INCUBATION!$E$27=CASE_COUNTS!$D$10,CASE_COUNTS!D68,IF(INCUBATION!$E$27=CASE_COUNTS!$E$10,CASE_COUNTS!E68,CASE_COUNTS!C68)))</f>
        <v>0</v>
      </c>
      <c r="E462" s="89">
        <f>CASE_COUNTS!C68</f>
        <v>0</v>
      </c>
      <c r="F462" s="89">
        <f>CASE_COUNTS!D68</f>
        <v>0</v>
      </c>
      <c r="G462" s="89">
        <f>CASE_COUNTS!E68</f>
        <v>0</v>
      </c>
      <c r="H462" s="86">
        <f t="shared" si="296"/>
        <v>0</v>
      </c>
      <c r="I462" s="104" t="str">
        <f t="shared" si="297"/>
        <v xml:space="preserve"> </v>
      </c>
    </row>
    <row r="463" spans="3:9" x14ac:dyDescent="0.25">
      <c r="C463" s="83">
        <f ca="1">CASE_COUNTS!B69</f>
        <v>42667</v>
      </c>
      <c r="D463" s="89">
        <f>IF(INCUBATION!$E$27=CASE_COUNTS!$C$10,CASE_COUNTS!C69,IF(INCUBATION!$E$27=CASE_COUNTS!$D$10,CASE_COUNTS!D69,IF(INCUBATION!$E$27=CASE_COUNTS!$E$10,CASE_COUNTS!E69,CASE_COUNTS!C69)))</f>
        <v>0</v>
      </c>
      <c r="E463" s="89">
        <f>CASE_COUNTS!C69</f>
        <v>0</v>
      </c>
      <c r="F463" s="89">
        <f>CASE_COUNTS!D69</f>
        <v>0</v>
      </c>
      <c r="G463" s="89">
        <f>CASE_COUNTS!E69</f>
        <v>0</v>
      </c>
      <c r="H463" s="86">
        <f t="shared" si="296"/>
        <v>0</v>
      </c>
      <c r="I463" s="104" t="str">
        <f t="shared" si="297"/>
        <v xml:space="preserve"> </v>
      </c>
    </row>
    <row r="464" spans="3:9" x14ac:dyDescent="0.25">
      <c r="C464" s="83">
        <f ca="1">CASE_COUNTS!B70</f>
        <v>42668</v>
      </c>
      <c r="D464" s="89">
        <f>IF(INCUBATION!$E$27=CASE_COUNTS!$C$10,CASE_COUNTS!C70,IF(INCUBATION!$E$27=CASE_COUNTS!$D$10,CASE_COUNTS!D70,IF(INCUBATION!$E$27=CASE_COUNTS!$E$10,CASE_COUNTS!E70,CASE_COUNTS!C70)))</f>
        <v>0</v>
      </c>
      <c r="E464" s="89">
        <f>CASE_COUNTS!C70</f>
        <v>0</v>
      </c>
      <c r="F464" s="89">
        <f>CASE_COUNTS!D70</f>
        <v>0</v>
      </c>
      <c r="G464" s="89">
        <f>CASE_COUNTS!E70</f>
        <v>0</v>
      </c>
      <c r="H464" s="86">
        <f t="shared" si="296"/>
        <v>0</v>
      </c>
      <c r="I464" s="104" t="str">
        <f t="shared" si="297"/>
        <v xml:space="preserve"> </v>
      </c>
    </row>
    <row r="465" spans="3:9" x14ac:dyDescent="0.25">
      <c r="C465" s="83">
        <f ca="1">CASE_COUNTS!B71</f>
        <v>42669</v>
      </c>
      <c r="D465" s="89">
        <f>IF(INCUBATION!$E$27=CASE_COUNTS!$C$10,CASE_COUNTS!C71,IF(INCUBATION!$E$27=CASE_COUNTS!$D$10,CASE_COUNTS!D71,IF(INCUBATION!$E$27=CASE_COUNTS!$E$10,CASE_COUNTS!E71,CASE_COUNTS!C71)))</f>
        <v>0</v>
      </c>
      <c r="E465" s="89">
        <f>CASE_COUNTS!C71</f>
        <v>0</v>
      </c>
      <c r="F465" s="89">
        <f>CASE_COUNTS!D71</f>
        <v>0</v>
      </c>
      <c r="G465" s="89">
        <f>CASE_COUNTS!E71</f>
        <v>0</v>
      </c>
      <c r="H465" s="86">
        <f t="shared" si="296"/>
        <v>0</v>
      </c>
      <c r="I465" s="104" t="str">
        <f t="shared" si="297"/>
        <v xml:space="preserve"> </v>
      </c>
    </row>
    <row r="466" spans="3:9" x14ac:dyDescent="0.25">
      <c r="C466" s="83">
        <f ca="1">CASE_COUNTS!B72</f>
        <v>42670</v>
      </c>
      <c r="D466" s="89">
        <f>IF(INCUBATION!$E$27=CASE_COUNTS!$C$10,CASE_COUNTS!C72,IF(INCUBATION!$E$27=CASE_COUNTS!$D$10,CASE_COUNTS!D72,IF(INCUBATION!$E$27=CASE_COUNTS!$E$10,CASE_COUNTS!E72,CASE_COUNTS!C72)))</f>
        <v>0</v>
      </c>
      <c r="E466" s="89">
        <f>CASE_COUNTS!C72</f>
        <v>0</v>
      </c>
      <c r="F466" s="89">
        <f>CASE_COUNTS!D72</f>
        <v>0</v>
      </c>
      <c r="G466" s="89">
        <f>CASE_COUNTS!E72</f>
        <v>0</v>
      </c>
      <c r="H466" s="86">
        <f t="shared" si="296"/>
        <v>0</v>
      </c>
      <c r="I466" s="104" t="str">
        <f t="shared" si="297"/>
        <v xml:space="preserve"> </v>
      </c>
    </row>
    <row r="467" spans="3:9" x14ac:dyDescent="0.25">
      <c r="C467" s="83">
        <f ca="1">CASE_COUNTS!B73</f>
        <v>42671</v>
      </c>
      <c r="D467" s="89">
        <f>IF(INCUBATION!$E$27=CASE_COUNTS!$C$10,CASE_COUNTS!C73,IF(INCUBATION!$E$27=CASE_COUNTS!$D$10,CASE_COUNTS!D73,IF(INCUBATION!$E$27=CASE_COUNTS!$E$10,CASE_COUNTS!E73,CASE_COUNTS!C73)))</f>
        <v>0</v>
      </c>
      <c r="E467" s="89">
        <f>CASE_COUNTS!C73</f>
        <v>0</v>
      </c>
      <c r="F467" s="89">
        <f>CASE_COUNTS!D73</f>
        <v>0</v>
      </c>
      <c r="G467" s="89">
        <f>CASE_COUNTS!E73</f>
        <v>0</v>
      </c>
      <c r="H467" s="86">
        <f t="shared" si="296"/>
        <v>0</v>
      </c>
      <c r="I467" s="104" t="str">
        <f t="shared" si="297"/>
        <v xml:space="preserve"> </v>
      </c>
    </row>
    <row r="468" spans="3:9" x14ac:dyDescent="0.25">
      <c r="C468" s="83">
        <f ca="1">CASE_COUNTS!B74</f>
        <v>42672</v>
      </c>
      <c r="D468" s="89">
        <f>IF(INCUBATION!$E$27=CASE_COUNTS!$C$10,CASE_COUNTS!C74,IF(INCUBATION!$E$27=CASE_COUNTS!$D$10,CASE_COUNTS!D74,IF(INCUBATION!$E$27=CASE_COUNTS!$E$10,CASE_COUNTS!E74,CASE_COUNTS!C74)))</f>
        <v>0</v>
      </c>
      <c r="E468" s="89">
        <f>CASE_COUNTS!C74</f>
        <v>0</v>
      </c>
      <c r="F468" s="89">
        <f>CASE_COUNTS!D74</f>
        <v>0</v>
      </c>
      <c r="G468" s="89">
        <f>CASE_COUNTS!E74</f>
        <v>0</v>
      </c>
      <c r="H468" s="86">
        <f t="shared" si="296"/>
        <v>0</v>
      </c>
      <c r="I468" s="104" t="str">
        <f t="shared" si="297"/>
        <v xml:space="preserve"> </v>
      </c>
    </row>
    <row r="469" spans="3:9" x14ac:dyDescent="0.25">
      <c r="C469" s="83">
        <f ca="1">CASE_COUNTS!B75</f>
        <v>42673</v>
      </c>
      <c r="D469" s="89">
        <f>IF(INCUBATION!$E$27=CASE_COUNTS!$C$10,CASE_COUNTS!C75,IF(INCUBATION!$E$27=CASE_COUNTS!$D$10,CASE_COUNTS!D75,IF(INCUBATION!$E$27=CASE_COUNTS!$E$10,CASE_COUNTS!E75,CASE_COUNTS!C75)))</f>
        <v>0</v>
      </c>
      <c r="E469" s="89">
        <f>CASE_COUNTS!C75</f>
        <v>0</v>
      </c>
      <c r="F469" s="89">
        <f>CASE_COUNTS!D75</f>
        <v>0</v>
      </c>
      <c r="G469" s="89">
        <f>CASE_COUNTS!E75</f>
        <v>0</v>
      </c>
      <c r="H469" s="86">
        <f t="shared" si="296"/>
        <v>0</v>
      </c>
      <c r="I469" s="104" t="str">
        <f t="shared" ref="I469:I500" si="298">IF(H469=0," ",C469)</f>
        <v xml:space="preserve"> </v>
      </c>
    </row>
    <row r="470" spans="3:9" x14ac:dyDescent="0.25">
      <c r="C470" s="83">
        <f ca="1">CASE_COUNTS!B76</f>
        <v>42674</v>
      </c>
      <c r="D470" s="89">
        <f>IF(INCUBATION!$E$27=CASE_COUNTS!$C$10,CASE_COUNTS!C76,IF(INCUBATION!$E$27=CASE_COUNTS!$D$10,CASE_COUNTS!D76,IF(INCUBATION!$E$27=CASE_COUNTS!$E$10,CASE_COUNTS!E76,CASE_COUNTS!C76)))</f>
        <v>0</v>
      </c>
      <c r="E470" s="89">
        <f>CASE_COUNTS!C76</f>
        <v>0</v>
      </c>
      <c r="F470" s="89">
        <f>CASE_COUNTS!D76</f>
        <v>0</v>
      </c>
      <c r="G470" s="89">
        <f>CASE_COUNTS!E76</f>
        <v>0</v>
      </c>
      <c r="H470" s="86">
        <f t="shared" ref="H470:H533" si="299">SUM(D470:G470)</f>
        <v>0</v>
      </c>
      <c r="I470" s="104" t="str">
        <f t="shared" si="298"/>
        <v xml:space="preserve"> </v>
      </c>
    </row>
    <row r="471" spans="3:9" x14ac:dyDescent="0.25">
      <c r="C471" s="83">
        <f ca="1">CASE_COUNTS!B77</f>
        <v>42675</v>
      </c>
      <c r="D471" s="89">
        <f>IF(INCUBATION!$E$27=CASE_COUNTS!$C$10,CASE_COUNTS!C77,IF(INCUBATION!$E$27=CASE_COUNTS!$D$10,CASE_COUNTS!D77,IF(INCUBATION!$E$27=CASE_COUNTS!$E$10,CASE_COUNTS!E77,CASE_COUNTS!C77)))</f>
        <v>0</v>
      </c>
      <c r="E471" s="89">
        <f>CASE_COUNTS!C77</f>
        <v>0</v>
      </c>
      <c r="F471" s="89">
        <f>CASE_COUNTS!D77</f>
        <v>0</v>
      </c>
      <c r="G471" s="89">
        <f>CASE_COUNTS!E77</f>
        <v>0</v>
      </c>
      <c r="H471" s="86">
        <f t="shared" si="299"/>
        <v>0</v>
      </c>
      <c r="I471" s="104" t="str">
        <f t="shared" si="298"/>
        <v xml:space="preserve"> </v>
      </c>
    </row>
    <row r="472" spans="3:9" x14ac:dyDescent="0.25">
      <c r="C472" s="83">
        <f ca="1">CASE_COUNTS!B78</f>
        <v>42676</v>
      </c>
      <c r="D472" s="89">
        <f>IF(INCUBATION!$E$27=CASE_COUNTS!$C$10,CASE_COUNTS!C78,IF(INCUBATION!$E$27=CASE_COUNTS!$D$10,CASE_COUNTS!D78,IF(INCUBATION!$E$27=CASE_COUNTS!$E$10,CASE_COUNTS!E78,CASE_COUNTS!C78)))</f>
        <v>0</v>
      </c>
      <c r="E472" s="89">
        <f>CASE_COUNTS!C78</f>
        <v>0</v>
      </c>
      <c r="F472" s="89">
        <f>CASE_COUNTS!D78</f>
        <v>0</v>
      </c>
      <c r="G472" s="89">
        <f>CASE_COUNTS!E78</f>
        <v>0</v>
      </c>
      <c r="H472" s="86">
        <f t="shared" si="299"/>
        <v>0</v>
      </c>
      <c r="I472" s="104" t="str">
        <f t="shared" si="298"/>
        <v xml:space="preserve"> </v>
      </c>
    </row>
    <row r="473" spans="3:9" x14ac:dyDescent="0.25">
      <c r="C473" s="83">
        <f ca="1">CASE_COUNTS!B79</f>
        <v>42677</v>
      </c>
      <c r="D473" s="89">
        <f>IF(INCUBATION!$E$27=CASE_COUNTS!$C$10,CASE_COUNTS!C79,IF(INCUBATION!$E$27=CASE_COUNTS!$D$10,CASE_COUNTS!D79,IF(INCUBATION!$E$27=CASE_COUNTS!$E$10,CASE_COUNTS!E79,CASE_COUNTS!C79)))</f>
        <v>0</v>
      </c>
      <c r="E473" s="89">
        <f>CASE_COUNTS!C79</f>
        <v>0</v>
      </c>
      <c r="F473" s="89">
        <f>CASE_COUNTS!D79</f>
        <v>0</v>
      </c>
      <c r="G473" s="89">
        <f>CASE_COUNTS!E79</f>
        <v>0</v>
      </c>
      <c r="H473" s="86">
        <f t="shared" si="299"/>
        <v>0</v>
      </c>
      <c r="I473" s="104" t="str">
        <f t="shared" si="298"/>
        <v xml:space="preserve"> </v>
      </c>
    </row>
    <row r="474" spans="3:9" x14ac:dyDescent="0.25">
      <c r="C474" s="83">
        <f ca="1">CASE_COUNTS!B80</f>
        <v>42678</v>
      </c>
      <c r="D474" s="89">
        <f>IF(INCUBATION!$E$27=CASE_COUNTS!$C$10,CASE_COUNTS!C80,IF(INCUBATION!$E$27=CASE_COUNTS!$D$10,CASE_COUNTS!D80,IF(INCUBATION!$E$27=CASE_COUNTS!$E$10,CASE_COUNTS!E80,CASE_COUNTS!C80)))</f>
        <v>0</v>
      </c>
      <c r="E474" s="89">
        <f>CASE_COUNTS!C80</f>
        <v>0</v>
      </c>
      <c r="F474" s="89">
        <f>CASE_COUNTS!D80</f>
        <v>0</v>
      </c>
      <c r="G474" s="89">
        <f>CASE_COUNTS!E80</f>
        <v>0</v>
      </c>
      <c r="H474" s="86">
        <f t="shared" si="299"/>
        <v>0</v>
      </c>
      <c r="I474" s="104" t="str">
        <f t="shared" si="298"/>
        <v xml:space="preserve"> </v>
      </c>
    </row>
    <row r="475" spans="3:9" x14ac:dyDescent="0.25">
      <c r="C475" s="83">
        <f ca="1">CASE_COUNTS!B81</f>
        <v>42679</v>
      </c>
      <c r="D475" s="89">
        <f>IF(INCUBATION!$E$27=CASE_COUNTS!$C$10,CASE_COUNTS!C81,IF(INCUBATION!$E$27=CASE_COUNTS!$D$10,CASE_COUNTS!D81,IF(INCUBATION!$E$27=CASE_COUNTS!$E$10,CASE_COUNTS!E81,CASE_COUNTS!C81)))</f>
        <v>0</v>
      </c>
      <c r="E475" s="89">
        <f>CASE_COUNTS!C81</f>
        <v>0</v>
      </c>
      <c r="F475" s="89">
        <f>CASE_COUNTS!D81</f>
        <v>0</v>
      </c>
      <c r="G475" s="89">
        <f>CASE_COUNTS!E81</f>
        <v>0</v>
      </c>
      <c r="H475" s="86">
        <f t="shared" si="299"/>
        <v>0</v>
      </c>
      <c r="I475" s="104" t="str">
        <f t="shared" si="298"/>
        <v xml:space="preserve"> </v>
      </c>
    </row>
    <row r="476" spans="3:9" x14ac:dyDescent="0.25">
      <c r="C476" s="83">
        <f ca="1">CASE_COUNTS!B82</f>
        <v>42680</v>
      </c>
      <c r="D476" s="89">
        <f>IF(INCUBATION!$E$27=CASE_COUNTS!$C$10,CASE_COUNTS!C82,IF(INCUBATION!$E$27=CASE_COUNTS!$D$10,CASE_COUNTS!D82,IF(INCUBATION!$E$27=CASE_COUNTS!$E$10,CASE_COUNTS!E82,CASE_COUNTS!C82)))</f>
        <v>0</v>
      </c>
      <c r="E476" s="89">
        <f>CASE_COUNTS!C82</f>
        <v>0</v>
      </c>
      <c r="F476" s="89">
        <f>CASE_COUNTS!D82</f>
        <v>0</v>
      </c>
      <c r="G476" s="89">
        <f>CASE_COUNTS!E82</f>
        <v>0</v>
      </c>
      <c r="H476" s="86">
        <f t="shared" si="299"/>
        <v>0</v>
      </c>
      <c r="I476" s="104" t="str">
        <f t="shared" si="298"/>
        <v xml:space="preserve"> </v>
      </c>
    </row>
    <row r="477" spans="3:9" x14ac:dyDescent="0.25">
      <c r="C477" s="83">
        <f ca="1">CASE_COUNTS!B83</f>
        <v>42681</v>
      </c>
      <c r="D477" s="89">
        <f>IF(INCUBATION!$E$27=CASE_COUNTS!$C$10,CASE_COUNTS!C83,IF(INCUBATION!$E$27=CASE_COUNTS!$D$10,CASE_COUNTS!D83,IF(INCUBATION!$E$27=CASE_COUNTS!$E$10,CASE_COUNTS!E83,CASE_COUNTS!C83)))</f>
        <v>0</v>
      </c>
      <c r="E477" s="89">
        <f>CASE_COUNTS!C83</f>
        <v>0</v>
      </c>
      <c r="F477" s="89">
        <f>CASE_COUNTS!D83</f>
        <v>0</v>
      </c>
      <c r="G477" s="89">
        <f>CASE_COUNTS!E83</f>
        <v>0</v>
      </c>
      <c r="H477" s="86">
        <f t="shared" si="299"/>
        <v>0</v>
      </c>
      <c r="I477" s="104" t="str">
        <f t="shared" si="298"/>
        <v xml:space="preserve"> </v>
      </c>
    </row>
    <row r="478" spans="3:9" x14ac:dyDescent="0.25">
      <c r="C478" s="83">
        <f ca="1">CASE_COUNTS!B84</f>
        <v>42682</v>
      </c>
      <c r="D478" s="89">
        <f>IF(INCUBATION!$E$27=CASE_COUNTS!$C$10,CASE_COUNTS!C84,IF(INCUBATION!$E$27=CASE_COUNTS!$D$10,CASE_COUNTS!D84,IF(INCUBATION!$E$27=CASE_COUNTS!$E$10,CASE_COUNTS!E84,CASE_COUNTS!C84)))</f>
        <v>0</v>
      </c>
      <c r="E478" s="89">
        <f>CASE_COUNTS!C84</f>
        <v>0</v>
      </c>
      <c r="F478" s="89">
        <f>CASE_COUNTS!D84</f>
        <v>0</v>
      </c>
      <c r="G478" s="89">
        <f>CASE_COUNTS!E84</f>
        <v>0</v>
      </c>
      <c r="H478" s="86">
        <f t="shared" si="299"/>
        <v>0</v>
      </c>
      <c r="I478" s="104" t="str">
        <f t="shared" si="298"/>
        <v xml:space="preserve"> </v>
      </c>
    </row>
    <row r="479" spans="3:9" x14ac:dyDescent="0.25">
      <c r="C479" s="83">
        <f ca="1">CASE_COUNTS!B85</f>
        <v>42683</v>
      </c>
      <c r="D479" s="89">
        <f>IF(INCUBATION!$E$27=CASE_COUNTS!$C$10,CASE_COUNTS!C85,IF(INCUBATION!$E$27=CASE_COUNTS!$D$10,CASE_COUNTS!D85,IF(INCUBATION!$E$27=CASE_COUNTS!$E$10,CASE_COUNTS!E85,CASE_COUNTS!C85)))</f>
        <v>0</v>
      </c>
      <c r="E479" s="89">
        <f>CASE_COUNTS!C85</f>
        <v>0</v>
      </c>
      <c r="F479" s="89">
        <f>CASE_COUNTS!D85</f>
        <v>0</v>
      </c>
      <c r="G479" s="89">
        <f>CASE_COUNTS!E85</f>
        <v>0</v>
      </c>
      <c r="H479" s="86">
        <f t="shared" si="299"/>
        <v>0</v>
      </c>
      <c r="I479" s="104" t="str">
        <f t="shared" si="298"/>
        <v xml:space="preserve"> </v>
      </c>
    </row>
    <row r="480" spans="3:9" x14ac:dyDescent="0.25">
      <c r="C480" s="83">
        <f ca="1">CASE_COUNTS!B86</f>
        <v>42684</v>
      </c>
      <c r="D480" s="89">
        <f>IF(INCUBATION!$E$27=CASE_COUNTS!$C$10,CASE_COUNTS!C86,IF(INCUBATION!$E$27=CASE_COUNTS!$D$10,CASE_COUNTS!D86,IF(INCUBATION!$E$27=CASE_COUNTS!$E$10,CASE_COUNTS!E86,CASE_COUNTS!C86)))</f>
        <v>0</v>
      </c>
      <c r="E480" s="89">
        <f>CASE_COUNTS!C86</f>
        <v>0</v>
      </c>
      <c r="F480" s="89">
        <f>CASE_COUNTS!D86</f>
        <v>0</v>
      </c>
      <c r="G480" s="89">
        <f>CASE_COUNTS!E86</f>
        <v>0</v>
      </c>
      <c r="H480" s="86">
        <f t="shared" si="299"/>
        <v>0</v>
      </c>
      <c r="I480" s="104" t="str">
        <f t="shared" si="298"/>
        <v xml:space="preserve"> </v>
      </c>
    </row>
    <row r="481" spans="2:9" x14ac:dyDescent="0.25">
      <c r="B481" s="102"/>
      <c r="C481" s="83">
        <f ca="1">CASE_COUNTS!B87</f>
        <v>42685</v>
      </c>
      <c r="D481" s="89">
        <f>IF(INCUBATION!$E$27=CASE_COUNTS!$C$10,CASE_COUNTS!C87,IF(INCUBATION!$E$27=CASE_COUNTS!$D$10,CASE_COUNTS!D87,IF(INCUBATION!$E$27=CASE_COUNTS!$E$10,CASE_COUNTS!E87,CASE_COUNTS!C87)))</f>
        <v>0</v>
      </c>
      <c r="E481" s="89">
        <f>CASE_COUNTS!C87</f>
        <v>0</v>
      </c>
      <c r="F481" s="89">
        <f>CASE_COUNTS!D87</f>
        <v>0</v>
      </c>
      <c r="G481" s="89">
        <f>CASE_COUNTS!E87</f>
        <v>0</v>
      </c>
      <c r="H481" s="86">
        <f t="shared" si="299"/>
        <v>0</v>
      </c>
      <c r="I481" s="104" t="str">
        <f t="shared" si="298"/>
        <v xml:space="preserve"> </v>
      </c>
    </row>
    <row r="482" spans="2:9" x14ac:dyDescent="0.25">
      <c r="C482" s="83">
        <f ca="1">CASE_COUNTS!B88</f>
        <v>42686</v>
      </c>
      <c r="D482" s="89">
        <f>IF(INCUBATION!$E$27=CASE_COUNTS!$C$10,CASE_COUNTS!C88,IF(INCUBATION!$E$27=CASE_COUNTS!$D$10,CASE_COUNTS!D88,IF(INCUBATION!$E$27=CASE_COUNTS!$E$10,CASE_COUNTS!E88,CASE_COUNTS!C88)))</f>
        <v>0</v>
      </c>
      <c r="E482" s="89">
        <f>CASE_COUNTS!C88</f>
        <v>0</v>
      </c>
      <c r="F482" s="89">
        <f>CASE_COUNTS!D88</f>
        <v>0</v>
      </c>
      <c r="G482" s="89">
        <f>CASE_COUNTS!E88</f>
        <v>0</v>
      </c>
      <c r="H482" s="86">
        <f t="shared" si="299"/>
        <v>0</v>
      </c>
      <c r="I482" s="104" t="str">
        <f t="shared" si="298"/>
        <v xml:space="preserve"> </v>
      </c>
    </row>
    <row r="483" spans="2:9" x14ac:dyDescent="0.25">
      <c r="C483" s="83">
        <f ca="1">CASE_COUNTS!B89</f>
        <v>42687</v>
      </c>
      <c r="D483" s="89">
        <f>IF(INCUBATION!$E$27=CASE_COUNTS!$C$10,CASE_COUNTS!C89,IF(INCUBATION!$E$27=CASE_COUNTS!$D$10,CASE_COUNTS!D89,IF(INCUBATION!$E$27=CASE_COUNTS!$E$10,CASE_COUNTS!E89,CASE_COUNTS!C89)))</f>
        <v>0</v>
      </c>
      <c r="E483" s="89">
        <f>CASE_COUNTS!C89</f>
        <v>0</v>
      </c>
      <c r="F483" s="89">
        <f>CASE_COUNTS!D89</f>
        <v>0</v>
      </c>
      <c r="G483" s="89">
        <f>CASE_COUNTS!E89</f>
        <v>0</v>
      </c>
      <c r="H483" s="86">
        <f t="shared" si="299"/>
        <v>0</v>
      </c>
      <c r="I483" s="104" t="str">
        <f t="shared" si="298"/>
        <v xml:space="preserve"> </v>
      </c>
    </row>
    <row r="484" spans="2:9" x14ac:dyDescent="0.25">
      <c r="C484" s="83">
        <f ca="1">CASE_COUNTS!B90</f>
        <v>42688</v>
      </c>
      <c r="D484" s="89">
        <f>IF(INCUBATION!$E$27=CASE_COUNTS!$C$10,CASE_COUNTS!C90,IF(INCUBATION!$E$27=CASE_COUNTS!$D$10,CASE_COUNTS!D90,IF(INCUBATION!$E$27=CASE_COUNTS!$E$10,CASE_COUNTS!E90,CASE_COUNTS!C90)))</f>
        <v>0</v>
      </c>
      <c r="E484" s="89">
        <f>CASE_COUNTS!C90</f>
        <v>0</v>
      </c>
      <c r="F484" s="89">
        <f>CASE_COUNTS!D90</f>
        <v>0</v>
      </c>
      <c r="G484" s="89">
        <f>CASE_COUNTS!E90</f>
        <v>0</v>
      </c>
      <c r="H484" s="86">
        <f t="shared" si="299"/>
        <v>0</v>
      </c>
      <c r="I484" s="104" t="str">
        <f t="shared" si="298"/>
        <v xml:space="preserve"> </v>
      </c>
    </row>
    <row r="485" spans="2:9" x14ac:dyDescent="0.25">
      <c r="C485" s="83">
        <f ca="1">CASE_COUNTS!B91</f>
        <v>42689</v>
      </c>
      <c r="D485" s="89">
        <f>IF(INCUBATION!$E$27=CASE_COUNTS!$C$10,CASE_COUNTS!C91,IF(INCUBATION!$E$27=CASE_COUNTS!$D$10,CASE_COUNTS!D91,IF(INCUBATION!$E$27=CASE_COUNTS!$E$10,CASE_COUNTS!E91,CASE_COUNTS!C91)))</f>
        <v>0</v>
      </c>
      <c r="E485" s="89">
        <f>CASE_COUNTS!C91</f>
        <v>0</v>
      </c>
      <c r="F485" s="89">
        <f>CASE_COUNTS!D91</f>
        <v>0</v>
      </c>
      <c r="G485" s="89">
        <f>CASE_COUNTS!E91</f>
        <v>0</v>
      </c>
      <c r="H485" s="86">
        <f t="shared" si="299"/>
        <v>0</v>
      </c>
      <c r="I485" s="104" t="str">
        <f t="shared" si="298"/>
        <v xml:space="preserve"> </v>
      </c>
    </row>
    <row r="486" spans="2:9" x14ac:dyDescent="0.25">
      <c r="C486" s="83">
        <f ca="1">CASE_COUNTS!B92</f>
        <v>42690</v>
      </c>
      <c r="D486" s="89">
        <f>IF(INCUBATION!$E$27=CASE_COUNTS!$C$10,CASE_COUNTS!C92,IF(INCUBATION!$E$27=CASE_COUNTS!$D$10,CASE_COUNTS!D92,IF(INCUBATION!$E$27=CASE_COUNTS!$E$10,CASE_COUNTS!E92,CASE_COUNTS!C92)))</f>
        <v>0</v>
      </c>
      <c r="E486" s="89">
        <f>CASE_COUNTS!C92</f>
        <v>0</v>
      </c>
      <c r="F486" s="89">
        <f>CASE_COUNTS!D92</f>
        <v>0</v>
      </c>
      <c r="G486" s="89">
        <f>CASE_COUNTS!E92</f>
        <v>0</v>
      </c>
      <c r="H486" s="86">
        <f t="shared" si="299"/>
        <v>0</v>
      </c>
      <c r="I486" s="104" t="str">
        <f t="shared" si="298"/>
        <v xml:space="preserve"> </v>
      </c>
    </row>
    <row r="487" spans="2:9" x14ac:dyDescent="0.25">
      <c r="C487" s="83">
        <f ca="1">CASE_COUNTS!B93</f>
        <v>42691</v>
      </c>
      <c r="D487" s="89">
        <f>IF(INCUBATION!$E$27=CASE_COUNTS!$C$10,CASE_COUNTS!C93,IF(INCUBATION!$E$27=CASE_COUNTS!$D$10,CASE_COUNTS!D93,IF(INCUBATION!$E$27=CASE_COUNTS!$E$10,CASE_COUNTS!E93,CASE_COUNTS!C93)))</f>
        <v>0</v>
      </c>
      <c r="E487" s="89">
        <f>CASE_COUNTS!C93</f>
        <v>0</v>
      </c>
      <c r="F487" s="89">
        <f>CASE_COUNTS!D93</f>
        <v>0</v>
      </c>
      <c r="G487" s="89">
        <f>CASE_COUNTS!E93</f>
        <v>0</v>
      </c>
      <c r="H487" s="86">
        <f t="shared" si="299"/>
        <v>0</v>
      </c>
      <c r="I487" s="104" t="str">
        <f t="shared" si="298"/>
        <v xml:space="preserve"> </v>
      </c>
    </row>
    <row r="488" spans="2:9" x14ac:dyDescent="0.25">
      <c r="C488" s="83">
        <f ca="1">CASE_COUNTS!B94</f>
        <v>42692</v>
      </c>
      <c r="D488" s="89">
        <f>IF(INCUBATION!$E$27=CASE_COUNTS!$C$10,CASE_COUNTS!C94,IF(INCUBATION!$E$27=CASE_COUNTS!$D$10,CASE_COUNTS!D94,IF(INCUBATION!$E$27=CASE_COUNTS!$E$10,CASE_COUNTS!E94,CASE_COUNTS!C94)))</f>
        <v>0</v>
      </c>
      <c r="E488" s="89">
        <f>CASE_COUNTS!C94</f>
        <v>0</v>
      </c>
      <c r="F488" s="89">
        <f>CASE_COUNTS!D94</f>
        <v>0</v>
      </c>
      <c r="G488" s="89">
        <f>CASE_COUNTS!E94</f>
        <v>0</v>
      </c>
      <c r="H488" s="86">
        <f t="shared" si="299"/>
        <v>0</v>
      </c>
      <c r="I488" s="104" t="str">
        <f t="shared" si="298"/>
        <v xml:space="preserve"> </v>
      </c>
    </row>
    <row r="489" spans="2:9" x14ac:dyDescent="0.25">
      <c r="C489" s="83">
        <f ca="1">CASE_COUNTS!B95</f>
        <v>42693</v>
      </c>
      <c r="D489" s="89">
        <f>IF(INCUBATION!$E$27=CASE_COUNTS!$C$10,CASE_COUNTS!C95,IF(INCUBATION!$E$27=CASE_COUNTS!$D$10,CASE_COUNTS!D95,IF(INCUBATION!$E$27=CASE_COUNTS!$E$10,CASE_COUNTS!E95,CASE_COUNTS!C95)))</f>
        <v>0</v>
      </c>
      <c r="E489" s="89">
        <f>CASE_COUNTS!C95</f>
        <v>0</v>
      </c>
      <c r="F489" s="89">
        <f>CASE_COUNTS!D95</f>
        <v>0</v>
      </c>
      <c r="G489" s="89">
        <f>CASE_COUNTS!E95</f>
        <v>0</v>
      </c>
      <c r="H489" s="86">
        <f t="shared" si="299"/>
        <v>0</v>
      </c>
      <c r="I489" s="104" t="str">
        <f t="shared" si="298"/>
        <v xml:space="preserve"> </v>
      </c>
    </row>
    <row r="490" spans="2:9" x14ac:dyDescent="0.25">
      <c r="C490" s="83">
        <f ca="1">CASE_COUNTS!B96</f>
        <v>42694</v>
      </c>
      <c r="D490" s="89">
        <f>IF(INCUBATION!$E$27=CASE_COUNTS!$C$10,CASE_COUNTS!C96,IF(INCUBATION!$E$27=CASE_COUNTS!$D$10,CASE_COUNTS!D96,IF(INCUBATION!$E$27=CASE_COUNTS!$E$10,CASE_COUNTS!E96,CASE_COUNTS!C96)))</f>
        <v>0</v>
      </c>
      <c r="E490" s="89">
        <f>CASE_COUNTS!C96</f>
        <v>0</v>
      </c>
      <c r="F490" s="89">
        <f>CASE_COUNTS!D96</f>
        <v>0</v>
      </c>
      <c r="G490" s="89">
        <f>CASE_COUNTS!E96</f>
        <v>0</v>
      </c>
      <c r="H490" s="86">
        <f t="shared" si="299"/>
        <v>0</v>
      </c>
      <c r="I490" s="104" t="str">
        <f t="shared" si="298"/>
        <v xml:space="preserve"> </v>
      </c>
    </row>
    <row r="491" spans="2:9" x14ac:dyDescent="0.25">
      <c r="C491" s="83">
        <f ca="1">CASE_COUNTS!B97</f>
        <v>42695</v>
      </c>
      <c r="D491" s="89">
        <f>IF(INCUBATION!$E$27=CASE_COUNTS!$C$10,CASE_COUNTS!C97,IF(INCUBATION!$E$27=CASE_COUNTS!$D$10,CASE_COUNTS!D97,IF(INCUBATION!$E$27=CASE_COUNTS!$E$10,CASE_COUNTS!E97,CASE_COUNTS!C97)))</f>
        <v>0</v>
      </c>
      <c r="E491" s="89">
        <f>CASE_COUNTS!C97</f>
        <v>0</v>
      </c>
      <c r="F491" s="89">
        <f>CASE_COUNTS!D97</f>
        <v>0</v>
      </c>
      <c r="G491" s="89">
        <f>CASE_COUNTS!E97</f>
        <v>0</v>
      </c>
      <c r="H491" s="86">
        <f t="shared" si="299"/>
        <v>0</v>
      </c>
      <c r="I491" s="104" t="str">
        <f t="shared" si="298"/>
        <v xml:space="preserve"> </v>
      </c>
    </row>
    <row r="492" spans="2:9" x14ac:dyDescent="0.25">
      <c r="C492" s="83">
        <f ca="1">CASE_COUNTS!B98</f>
        <v>42696</v>
      </c>
      <c r="D492" s="89">
        <f>IF(INCUBATION!$E$27=CASE_COUNTS!$C$10,CASE_COUNTS!C98,IF(INCUBATION!$E$27=CASE_COUNTS!$D$10,CASE_COUNTS!D98,IF(INCUBATION!$E$27=CASE_COUNTS!$E$10,CASE_COUNTS!E98,CASE_COUNTS!C98)))</f>
        <v>0</v>
      </c>
      <c r="E492" s="89">
        <f>CASE_COUNTS!C98</f>
        <v>0</v>
      </c>
      <c r="F492" s="89">
        <f>CASE_COUNTS!D98</f>
        <v>0</v>
      </c>
      <c r="G492" s="89">
        <f>CASE_COUNTS!E98</f>
        <v>0</v>
      </c>
      <c r="H492" s="86">
        <f t="shared" si="299"/>
        <v>0</v>
      </c>
      <c r="I492" s="104" t="str">
        <f t="shared" si="298"/>
        <v xml:space="preserve"> </v>
      </c>
    </row>
    <row r="493" spans="2:9" x14ac:dyDescent="0.25">
      <c r="C493" s="83">
        <f ca="1">CASE_COUNTS!B99</f>
        <v>42697</v>
      </c>
      <c r="D493" s="89">
        <f>IF(INCUBATION!$E$27=CASE_COUNTS!$C$10,CASE_COUNTS!C99,IF(INCUBATION!$E$27=CASE_COUNTS!$D$10,CASE_COUNTS!D99,IF(INCUBATION!$E$27=CASE_COUNTS!$E$10,CASE_COUNTS!E99,CASE_COUNTS!C99)))</f>
        <v>0</v>
      </c>
      <c r="E493" s="89">
        <f>CASE_COUNTS!C99</f>
        <v>0</v>
      </c>
      <c r="F493" s="89">
        <f>CASE_COUNTS!D99</f>
        <v>0</v>
      </c>
      <c r="G493" s="89">
        <f>CASE_COUNTS!E99</f>
        <v>0</v>
      </c>
      <c r="H493" s="86">
        <f t="shared" si="299"/>
        <v>0</v>
      </c>
      <c r="I493" s="104" t="str">
        <f t="shared" si="298"/>
        <v xml:space="preserve"> </v>
      </c>
    </row>
    <row r="494" spans="2:9" x14ac:dyDescent="0.25">
      <c r="C494" s="83">
        <f ca="1">CASE_COUNTS!B100</f>
        <v>42698</v>
      </c>
      <c r="D494" s="89">
        <f>IF(INCUBATION!$E$27=CASE_COUNTS!$C$10,CASE_COUNTS!C100,IF(INCUBATION!$E$27=CASE_COUNTS!$D$10,CASE_COUNTS!D100,IF(INCUBATION!$E$27=CASE_COUNTS!$E$10,CASE_COUNTS!E100,CASE_COUNTS!C100)))</f>
        <v>0</v>
      </c>
      <c r="E494" s="89">
        <f>CASE_COUNTS!C100</f>
        <v>0</v>
      </c>
      <c r="F494" s="89">
        <f>CASE_COUNTS!D100</f>
        <v>0</v>
      </c>
      <c r="G494" s="89">
        <f>CASE_COUNTS!E100</f>
        <v>0</v>
      </c>
      <c r="H494" s="86">
        <f t="shared" si="299"/>
        <v>0</v>
      </c>
      <c r="I494" s="104" t="str">
        <f t="shared" si="298"/>
        <v xml:space="preserve"> </v>
      </c>
    </row>
    <row r="495" spans="2:9" x14ac:dyDescent="0.25">
      <c r="C495" s="83">
        <f ca="1">CASE_COUNTS!B101</f>
        <v>42699</v>
      </c>
      <c r="D495" s="89">
        <f>IF(INCUBATION!$E$27=CASE_COUNTS!$C$10,CASE_COUNTS!C101,IF(INCUBATION!$E$27=CASE_COUNTS!$D$10,CASE_COUNTS!D101,IF(INCUBATION!$E$27=CASE_COUNTS!$E$10,CASE_COUNTS!E101,CASE_COUNTS!C101)))</f>
        <v>0</v>
      </c>
      <c r="E495" s="89">
        <f>CASE_COUNTS!C101</f>
        <v>0</v>
      </c>
      <c r="F495" s="89">
        <f>CASE_COUNTS!D101</f>
        <v>0</v>
      </c>
      <c r="G495" s="89">
        <f>CASE_COUNTS!E101</f>
        <v>0</v>
      </c>
      <c r="H495" s="86">
        <f t="shared" si="299"/>
        <v>0</v>
      </c>
      <c r="I495" s="104" t="str">
        <f t="shared" si="298"/>
        <v xml:space="preserve"> </v>
      </c>
    </row>
    <row r="496" spans="2:9" x14ac:dyDescent="0.25">
      <c r="C496" s="83">
        <f ca="1">CASE_COUNTS!B102</f>
        <v>42700</v>
      </c>
      <c r="D496" s="89">
        <f>IF(INCUBATION!$E$27=CASE_COUNTS!$C$10,CASE_COUNTS!C102,IF(INCUBATION!$E$27=CASE_COUNTS!$D$10,CASE_COUNTS!D102,IF(INCUBATION!$E$27=CASE_COUNTS!$E$10,CASE_COUNTS!E102,CASE_COUNTS!C102)))</f>
        <v>0</v>
      </c>
      <c r="E496" s="89">
        <f>CASE_COUNTS!C102</f>
        <v>0</v>
      </c>
      <c r="F496" s="89">
        <f>CASE_COUNTS!D102</f>
        <v>0</v>
      </c>
      <c r="G496" s="89">
        <f>CASE_COUNTS!E102</f>
        <v>0</v>
      </c>
      <c r="H496" s="86">
        <f t="shared" si="299"/>
        <v>0</v>
      </c>
      <c r="I496" s="104" t="str">
        <f t="shared" si="298"/>
        <v xml:space="preserve"> </v>
      </c>
    </row>
    <row r="497" spans="3:9" x14ac:dyDescent="0.25">
      <c r="C497" s="83">
        <f ca="1">CASE_COUNTS!B103</f>
        <v>42701</v>
      </c>
      <c r="D497" s="89">
        <f>IF(INCUBATION!$E$27=CASE_COUNTS!$C$10,CASE_COUNTS!C103,IF(INCUBATION!$E$27=CASE_COUNTS!$D$10,CASE_COUNTS!D103,IF(INCUBATION!$E$27=CASE_COUNTS!$E$10,CASE_COUNTS!E103,CASE_COUNTS!C103)))</f>
        <v>0</v>
      </c>
      <c r="E497" s="89">
        <f>CASE_COUNTS!C103</f>
        <v>0</v>
      </c>
      <c r="F497" s="89">
        <f>CASE_COUNTS!D103</f>
        <v>0</v>
      </c>
      <c r="G497" s="89">
        <f>CASE_COUNTS!E103</f>
        <v>0</v>
      </c>
      <c r="H497" s="86">
        <f t="shared" si="299"/>
        <v>0</v>
      </c>
      <c r="I497" s="104" t="str">
        <f t="shared" si="298"/>
        <v xml:space="preserve"> </v>
      </c>
    </row>
    <row r="498" spans="3:9" x14ac:dyDescent="0.25">
      <c r="C498" s="83">
        <f ca="1">CASE_COUNTS!B104</f>
        <v>42702</v>
      </c>
      <c r="D498" s="89">
        <f>IF(INCUBATION!$E$27=CASE_COUNTS!$C$10,CASE_COUNTS!C104,IF(INCUBATION!$E$27=CASE_COUNTS!$D$10,CASE_COUNTS!D104,IF(INCUBATION!$E$27=CASE_COUNTS!$E$10,CASE_COUNTS!E104,CASE_COUNTS!C104)))</f>
        <v>0</v>
      </c>
      <c r="E498" s="89">
        <f>CASE_COUNTS!C104</f>
        <v>0</v>
      </c>
      <c r="F498" s="89">
        <f>CASE_COUNTS!D104</f>
        <v>0</v>
      </c>
      <c r="G498" s="89">
        <f>CASE_COUNTS!E104</f>
        <v>0</v>
      </c>
      <c r="H498" s="86">
        <f t="shared" si="299"/>
        <v>0</v>
      </c>
      <c r="I498" s="104" t="str">
        <f t="shared" si="298"/>
        <v xml:space="preserve"> </v>
      </c>
    </row>
    <row r="499" spans="3:9" x14ac:dyDescent="0.25">
      <c r="C499" s="83">
        <f ca="1">CASE_COUNTS!B105</f>
        <v>42703</v>
      </c>
      <c r="D499" s="89">
        <f>IF(INCUBATION!$E$27=CASE_COUNTS!$C$10,CASE_COUNTS!C105,IF(INCUBATION!$E$27=CASE_COUNTS!$D$10,CASE_COUNTS!D105,IF(INCUBATION!$E$27=CASE_COUNTS!$E$10,CASE_COUNTS!E105,CASE_COUNTS!C105)))</f>
        <v>0</v>
      </c>
      <c r="E499" s="89">
        <f>CASE_COUNTS!C105</f>
        <v>0</v>
      </c>
      <c r="F499" s="89">
        <f>CASE_COUNTS!D105</f>
        <v>0</v>
      </c>
      <c r="G499" s="89">
        <f>CASE_COUNTS!E105</f>
        <v>0</v>
      </c>
      <c r="H499" s="86">
        <f t="shared" si="299"/>
        <v>0</v>
      </c>
      <c r="I499" s="104" t="str">
        <f t="shared" si="298"/>
        <v xml:space="preserve"> </v>
      </c>
    </row>
    <row r="500" spans="3:9" x14ac:dyDescent="0.25">
      <c r="C500" s="83">
        <f ca="1">CASE_COUNTS!B106</f>
        <v>42704</v>
      </c>
      <c r="D500" s="89">
        <f>IF(INCUBATION!$E$27=CASE_COUNTS!$C$10,CASE_COUNTS!C106,IF(INCUBATION!$E$27=CASE_COUNTS!$D$10,CASE_COUNTS!D106,IF(INCUBATION!$E$27=CASE_COUNTS!$E$10,CASE_COUNTS!E106,CASE_COUNTS!C106)))</f>
        <v>0</v>
      </c>
      <c r="E500" s="89">
        <f>CASE_COUNTS!C106</f>
        <v>0</v>
      </c>
      <c r="F500" s="89">
        <f>CASE_COUNTS!D106</f>
        <v>0</v>
      </c>
      <c r="G500" s="89">
        <f>CASE_COUNTS!E106</f>
        <v>0</v>
      </c>
      <c r="H500" s="86">
        <f t="shared" si="299"/>
        <v>0</v>
      </c>
      <c r="I500" s="104" t="str">
        <f t="shared" si="298"/>
        <v xml:space="preserve"> </v>
      </c>
    </row>
    <row r="501" spans="3:9" x14ac:dyDescent="0.25">
      <c r="C501" s="83">
        <f ca="1">CASE_COUNTS!B107</f>
        <v>42705</v>
      </c>
      <c r="D501" s="89">
        <f>IF(INCUBATION!$E$27=CASE_COUNTS!$C$10,CASE_COUNTS!C107,IF(INCUBATION!$E$27=CASE_COUNTS!$D$10,CASE_COUNTS!D107,IF(INCUBATION!$E$27=CASE_COUNTS!$E$10,CASE_COUNTS!E107,CASE_COUNTS!C107)))</f>
        <v>0</v>
      </c>
      <c r="E501" s="89">
        <f>CASE_COUNTS!C107</f>
        <v>0</v>
      </c>
      <c r="F501" s="89">
        <f>CASE_COUNTS!D107</f>
        <v>0</v>
      </c>
      <c r="G501" s="89">
        <f>CASE_COUNTS!E107</f>
        <v>0</v>
      </c>
      <c r="H501" s="86">
        <f t="shared" si="299"/>
        <v>0</v>
      </c>
      <c r="I501" s="104" t="str">
        <f t="shared" ref="I501:I532" si="300">IF(H501=0," ",C501)</f>
        <v xml:space="preserve"> </v>
      </c>
    </row>
    <row r="502" spans="3:9" x14ac:dyDescent="0.25">
      <c r="C502" s="83">
        <f ca="1">CASE_COUNTS!B108</f>
        <v>42706</v>
      </c>
      <c r="D502" s="89">
        <f>IF(INCUBATION!$E$27=CASE_COUNTS!$C$10,CASE_COUNTS!C108,IF(INCUBATION!$E$27=CASE_COUNTS!$D$10,CASE_COUNTS!D108,IF(INCUBATION!$E$27=CASE_COUNTS!$E$10,CASE_COUNTS!E108,CASE_COUNTS!C108)))</f>
        <v>0</v>
      </c>
      <c r="E502" s="89">
        <f>CASE_COUNTS!C108</f>
        <v>0</v>
      </c>
      <c r="F502" s="89">
        <f>CASE_COUNTS!D108</f>
        <v>0</v>
      </c>
      <c r="G502" s="89">
        <f>CASE_COUNTS!E108</f>
        <v>0</v>
      </c>
      <c r="H502" s="86">
        <f t="shared" si="299"/>
        <v>0</v>
      </c>
      <c r="I502" s="104" t="str">
        <f t="shared" si="300"/>
        <v xml:space="preserve"> </v>
      </c>
    </row>
    <row r="503" spans="3:9" x14ac:dyDescent="0.25">
      <c r="C503" s="83">
        <f ca="1">CASE_COUNTS!B109</f>
        <v>42707</v>
      </c>
      <c r="D503" s="89">
        <f>IF(INCUBATION!$E$27=CASE_COUNTS!$C$10,CASE_COUNTS!C109,IF(INCUBATION!$E$27=CASE_COUNTS!$D$10,CASE_COUNTS!D109,IF(INCUBATION!$E$27=CASE_COUNTS!$E$10,CASE_COUNTS!E109,CASE_COUNTS!C109)))</f>
        <v>0</v>
      </c>
      <c r="E503" s="89">
        <f>CASE_COUNTS!C109</f>
        <v>0</v>
      </c>
      <c r="F503" s="89">
        <f>CASE_COUNTS!D109</f>
        <v>0</v>
      </c>
      <c r="G503" s="89">
        <f>CASE_COUNTS!E109</f>
        <v>0</v>
      </c>
      <c r="H503" s="86">
        <f t="shared" si="299"/>
        <v>0</v>
      </c>
      <c r="I503" s="104" t="str">
        <f t="shared" si="300"/>
        <v xml:space="preserve"> </v>
      </c>
    </row>
    <row r="504" spans="3:9" x14ac:dyDescent="0.25">
      <c r="C504" s="83">
        <f ca="1">CASE_COUNTS!B110</f>
        <v>42708</v>
      </c>
      <c r="D504" s="89">
        <f>IF(INCUBATION!$E$27=CASE_COUNTS!$C$10,CASE_COUNTS!C110,IF(INCUBATION!$E$27=CASE_COUNTS!$D$10,CASE_COUNTS!D110,IF(INCUBATION!$E$27=CASE_COUNTS!$E$10,CASE_COUNTS!E110,CASE_COUNTS!C110)))</f>
        <v>0</v>
      </c>
      <c r="E504" s="89">
        <f>CASE_COUNTS!C110</f>
        <v>0</v>
      </c>
      <c r="F504" s="89">
        <f>CASE_COUNTS!D110</f>
        <v>0</v>
      </c>
      <c r="G504" s="89">
        <f>CASE_COUNTS!E110</f>
        <v>0</v>
      </c>
      <c r="H504" s="86">
        <f t="shared" si="299"/>
        <v>0</v>
      </c>
      <c r="I504" s="104" t="str">
        <f t="shared" si="300"/>
        <v xml:space="preserve"> </v>
      </c>
    </row>
    <row r="505" spans="3:9" x14ac:dyDescent="0.25">
      <c r="C505" s="83">
        <f ca="1">CASE_COUNTS!B111</f>
        <v>42709</v>
      </c>
      <c r="D505" s="89">
        <f>IF(INCUBATION!$E$27=CASE_COUNTS!$C$10,CASE_COUNTS!C111,IF(INCUBATION!$E$27=CASE_COUNTS!$D$10,CASE_COUNTS!D111,IF(INCUBATION!$E$27=CASE_COUNTS!$E$10,CASE_COUNTS!E111,CASE_COUNTS!C111)))</f>
        <v>0</v>
      </c>
      <c r="E505" s="89">
        <f>CASE_COUNTS!C111</f>
        <v>0</v>
      </c>
      <c r="F505" s="89">
        <f>CASE_COUNTS!D111</f>
        <v>0</v>
      </c>
      <c r="G505" s="89">
        <f>CASE_COUNTS!E111</f>
        <v>0</v>
      </c>
      <c r="H505" s="86">
        <f t="shared" si="299"/>
        <v>0</v>
      </c>
      <c r="I505" s="104" t="str">
        <f t="shared" si="300"/>
        <v xml:space="preserve"> </v>
      </c>
    </row>
    <row r="506" spans="3:9" x14ac:dyDescent="0.25">
      <c r="C506" s="83">
        <f ca="1">CASE_COUNTS!B112</f>
        <v>42710</v>
      </c>
      <c r="D506" s="89">
        <f>IF(INCUBATION!$E$27=CASE_COUNTS!$C$10,CASE_COUNTS!C112,IF(INCUBATION!$E$27=CASE_COUNTS!$D$10,CASE_COUNTS!D112,IF(INCUBATION!$E$27=CASE_COUNTS!$E$10,CASE_COUNTS!E112,CASE_COUNTS!C112)))</f>
        <v>0</v>
      </c>
      <c r="E506" s="89">
        <f>CASE_COUNTS!C112</f>
        <v>0</v>
      </c>
      <c r="F506" s="89">
        <f>CASE_COUNTS!D112</f>
        <v>0</v>
      </c>
      <c r="G506" s="89">
        <f>CASE_COUNTS!E112</f>
        <v>0</v>
      </c>
      <c r="H506" s="86">
        <f t="shared" si="299"/>
        <v>0</v>
      </c>
      <c r="I506" s="104" t="str">
        <f t="shared" si="300"/>
        <v xml:space="preserve"> </v>
      </c>
    </row>
    <row r="507" spans="3:9" x14ac:dyDescent="0.25">
      <c r="C507" s="83">
        <f ca="1">CASE_COUNTS!B113</f>
        <v>42711</v>
      </c>
      <c r="D507" s="89">
        <f>IF(INCUBATION!$E$27=CASE_COUNTS!$C$10,CASE_COUNTS!C113,IF(INCUBATION!$E$27=CASE_COUNTS!$D$10,CASE_COUNTS!D113,IF(INCUBATION!$E$27=CASE_COUNTS!$E$10,CASE_COUNTS!E113,CASE_COUNTS!C113)))</f>
        <v>0</v>
      </c>
      <c r="E507" s="89">
        <f>CASE_COUNTS!C113</f>
        <v>0</v>
      </c>
      <c r="F507" s="89">
        <f>CASE_COUNTS!D113</f>
        <v>0</v>
      </c>
      <c r="G507" s="89">
        <f>CASE_COUNTS!E113</f>
        <v>0</v>
      </c>
      <c r="H507" s="86">
        <f t="shared" si="299"/>
        <v>0</v>
      </c>
      <c r="I507" s="104" t="str">
        <f t="shared" si="300"/>
        <v xml:space="preserve"> </v>
      </c>
    </row>
    <row r="508" spans="3:9" x14ac:dyDescent="0.25">
      <c r="C508" s="83">
        <f ca="1">CASE_COUNTS!B114</f>
        <v>42712</v>
      </c>
      <c r="D508" s="89">
        <f>IF(INCUBATION!$E$27=CASE_COUNTS!$C$10,CASE_COUNTS!C114,IF(INCUBATION!$E$27=CASE_COUNTS!$D$10,CASE_COUNTS!D114,IF(INCUBATION!$E$27=CASE_COUNTS!$E$10,CASE_COUNTS!E114,CASE_COUNTS!C114)))</f>
        <v>0</v>
      </c>
      <c r="E508" s="89">
        <f>CASE_COUNTS!C114</f>
        <v>0</v>
      </c>
      <c r="F508" s="89">
        <f>CASE_COUNTS!D114</f>
        <v>0</v>
      </c>
      <c r="G508" s="89">
        <f>CASE_COUNTS!E114</f>
        <v>0</v>
      </c>
      <c r="H508" s="86">
        <f t="shared" si="299"/>
        <v>0</v>
      </c>
      <c r="I508" s="104" t="str">
        <f t="shared" si="300"/>
        <v xml:space="preserve"> </v>
      </c>
    </row>
    <row r="509" spans="3:9" x14ac:dyDescent="0.25">
      <c r="C509" s="83">
        <f ca="1">CASE_COUNTS!B115</f>
        <v>42713</v>
      </c>
      <c r="D509" s="89">
        <f>IF(INCUBATION!$E$27=CASE_COUNTS!$C$10,CASE_COUNTS!C115,IF(INCUBATION!$E$27=CASE_COUNTS!$D$10,CASE_COUNTS!D115,IF(INCUBATION!$E$27=CASE_COUNTS!$E$10,CASE_COUNTS!E115,CASE_COUNTS!C115)))</f>
        <v>0</v>
      </c>
      <c r="E509" s="89">
        <f>CASE_COUNTS!C115</f>
        <v>0</v>
      </c>
      <c r="F509" s="89">
        <f>CASE_COUNTS!D115</f>
        <v>0</v>
      </c>
      <c r="G509" s="89">
        <f>CASE_COUNTS!E115</f>
        <v>0</v>
      </c>
      <c r="H509" s="86">
        <f t="shared" si="299"/>
        <v>0</v>
      </c>
      <c r="I509" s="104" t="str">
        <f t="shared" si="300"/>
        <v xml:space="preserve"> </v>
      </c>
    </row>
    <row r="510" spans="3:9" x14ac:dyDescent="0.25">
      <c r="C510" s="83">
        <f ca="1">CASE_COUNTS!B116</f>
        <v>42714</v>
      </c>
      <c r="D510" s="89">
        <f>IF(INCUBATION!$E$27=CASE_COUNTS!$C$10,CASE_COUNTS!C116,IF(INCUBATION!$E$27=CASE_COUNTS!$D$10,CASE_COUNTS!D116,IF(INCUBATION!$E$27=CASE_COUNTS!$E$10,CASE_COUNTS!E116,CASE_COUNTS!C116)))</f>
        <v>0</v>
      </c>
      <c r="E510" s="89">
        <f>CASE_COUNTS!C116</f>
        <v>0</v>
      </c>
      <c r="F510" s="89">
        <f>CASE_COUNTS!D116</f>
        <v>0</v>
      </c>
      <c r="G510" s="89">
        <f>CASE_COUNTS!E116</f>
        <v>0</v>
      </c>
      <c r="H510" s="86">
        <f t="shared" si="299"/>
        <v>0</v>
      </c>
      <c r="I510" s="104" t="str">
        <f t="shared" si="300"/>
        <v xml:space="preserve"> </v>
      </c>
    </row>
    <row r="511" spans="3:9" x14ac:dyDescent="0.25">
      <c r="C511" s="83">
        <f ca="1">CASE_COUNTS!B117</f>
        <v>42715</v>
      </c>
      <c r="D511" s="89">
        <f>IF(INCUBATION!$E$27=CASE_COUNTS!$C$10,CASE_COUNTS!C117,IF(INCUBATION!$E$27=CASE_COUNTS!$D$10,CASE_COUNTS!D117,IF(INCUBATION!$E$27=CASE_COUNTS!$E$10,CASE_COUNTS!E117,CASE_COUNTS!C117)))</f>
        <v>0</v>
      </c>
      <c r="E511" s="89">
        <f>CASE_COUNTS!C117</f>
        <v>0</v>
      </c>
      <c r="F511" s="89">
        <f>CASE_COUNTS!D117</f>
        <v>0</v>
      </c>
      <c r="G511" s="89">
        <f>CASE_COUNTS!E117</f>
        <v>0</v>
      </c>
      <c r="H511" s="86">
        <f t="shared" si="299"/>
        <v>0</v>
      </c>
      <c r="I511" s="104" t="str">
        <f t="shared" si="300"/>
        <v xml:space="preserve"> </v>
      </c>
    </row>
    <row r="512" spans="3:9" x14ac:dyDescent="0.25">
      <c r="C512" s="83">
        <f ca="1">CASE_COUNTS!B118</f>
        <v>42716</v>
      </c>
      <c r="D512" s="89">
        <f>IF(INCUBATION!$E$27=CASE_COUNTS!$C$10,CASE_COUNTS!C118,IF(INCUBATION!$E$27=CASE_COUNTS!$D$10,CASE_COUNTS!D118,IF(INCUBATION!$E$27=CASE_COUNTS!$E$10,CASE_COUNTS!E118,CASE_COUNTS!C118)))</f>
        <v>0</v>
      </c>
      <c r="E512" s="89">
        <f>CASE_COUNTS!C118</f>
        <v>0</v>
      </c>
      <c r="F512" s="89">
        <f>CASE_COUNTS!D118</f>
        <v>0</v>
      </c>
      <c r="G512" s="89">
        <f>CASE_COUNTS!E118</f>
        <v>0</v>
      </c>
      <c r="H512" s="86">
        <f t="shared" si="299"/>
        <v>0</v>
      </c>
      <c r="I512" s="104" t="str">
        <f t="shared" si="300"/>
        <v xml:space="preserve"> </v>
      </c>
    </row>
    <row r="513" spans="3:9" x14ac:dyDescent="0.25">
      <c r="C513" s="83">
        <f ca="1">CASE_COUNTS!B119</f>
        <v>42717</v>
      </c>
      <c r="D513" s="89">
        <f>IF(INCUBATION!$E$27=CASE_COUNTS!$C$10,CASE_COUNTS!C119,IF(INCUBATION!$E$27=CASE_COUNTS!$D$10,CASE_COUNTS!D119,IF(INCUBATION!$E$27=CASE_COUNTS!$E$10,CASE_COUNTS!E119,CASE_COUNTS!C119)))</f>
        <v>0</v>
      </c>
      <c r="E513" s="89">
        <f>CASE_COUNTS!C119</f>
        <v>0</v>
      </c>
      <c r="F513" s="89">
        <f>CASE_COUNTS!D119</f>
        <v>0</v>
      </c>
      <c r="G513" s="89">
        <f>CASE_COUNTS!E119</f>
        <v>0</v>
      </c>
      <c r="H513" s="86">
        <f t="shared" si="299"/>
        <v>0</v>
      </c>
      <c r="I513" s="104" t="str">
        <f t="shared" si="300"/>
        <v xml:space="preserve"> </v>
      </c>
    </row>
    <row r="514" spans="3:9" x14ac:dyDescent="0.25">
      <c r="C514" s="83">
        <f ca="1">CASE_COUNTS!B120</f>
        <v>42718</v>
      </c>
      <c r="D514" s="89">
        <f>IF(INCUBATION!$E$27=CASE_COUNTS!$C$10,CASE_COUNTS!C120,IF(INCUBATION!$E$27=CASE_COUNTS!$D$10,CASE_COUNTS!D120,IF(INCUBATION!$E$27=CASE_COUNTS!$E$10,CASE_COUNTS!E120,CASE_COUNTS!C120)))</f>
        <v>0</v>
      </c>
      <c r="E514" s="89">
        <f>CASE_COUNTS!C120</f>
        <v>0</v>
      </c>
      <c r="F514" s="89">
        <f>CASE_COUNTS!D120</f>
        <v>0</v>
      </c>
      <c r="G514" s="89">
        <f>CASE_COUNTS!E120</f>
        <v>0</v>
      </c>
      <c r="H514" s="86">
        <f t="shared" si="299"/>
        <v>0</v>
      </c>
      <c r="I514" s="104" t="str">
        <f t="shared" si="300"/>
        <v xml:space="preserve"> </v>
      </c>
    </row>
    <row r="515" spans="3:9" x14ac:dyDescent="0.25">
      <c r="C515" s="83">
        <f ca="1">CASE_COUNTS!B121</f>
        <v>42719</v>
      </c>
      <c r="D515" s="89">
        <f>IF(INCUBATION!$E$27=CASE_COUNTS!$C$10,CASE_COUNTS!C121,IF(INCUBATION!$E$27=CASE_COUNTS!$D$10,CASE_COUNTS!D121,IF(INCUBATION!$E$27=CASE_COUNTS!$E$10,CASE_COUNTS!E121,CASE_COUNTS!C121)))</f>
        <v>0</v>
      </c>
      <c r="E515" s="89">
        <f>CASE_COUNTS!C121</f>
        <v>0</v>
      </c>
      <c r="F515" s="89">
        <f>CASE_COUNTS!D121</f>
        <v>0</v>
      </c>
      <c r="G515" s="89">
        <f>CASE_COUNTS!E121</f>
        <v>0</v>
      </c>
      <c r="H515" s="86">
        <f t="shared" si="299"/>
        <v>0</v>
      </c>
      <c r="I515" s="104" t="str">
        <f t="shared" si="300"/>
        <v xml:space="preserve"> </v>
      </c>
    </row>
    <row r="516" spans="3:9" x14ac:dyDescent="0.25">
      <c r="C516" s="83">
        <f ca="1">CASE_COUNTS!B122</f>
        <v>42720</v>
      </c>
      <c r="D516" s="89">
        <f>IF(INCUBATION!$E$27=CASE_COUNTS!$C$10,CASE_COUNTS!C122,IF(INCUBATION!$E$27=CASE_COUNTS!$D$10,CASE_COUNTS!D122,IF(INCUBATION!$E$27=CASE_COUNTS!$E$10,CASE_COUNTS!E122,CASE_COUNTS!C122)))</f>
        <v>0</v>
      </c>
      <c r="E516" s="89">
        <f>CASE_COUNTS!C122</f>
        <v>0</v>
      </c>
      <c r="F516" s="89">
        <f>CASE_COUNTS!D122</f>
        <v>0</v>
      </c>
      <c r="G516" s="89">
        <f>CASE_COUNTS!E122</f>
        <v>0</v>
      </c>
      <c r="H516" s="86">
        <f t="shared" si="299"/>
        <v>0</v>
      </c>
      <c r="I516" s="104" t="str">
        <f t="shared" si="300"/>
        <v xml:space="preserve"> </v>
      </c>
    </row>
    <row r="517" spans="3:9" x14ac:dyDescent="0.25">
      <c r="C517" s="83">
        <f ca="1">CASE_COUNTS!B123</f>
        <v>42721</v>
      </c>
      <c r="D517" s="89">
        <f>IF(INCUBATION!$E$27=CASE_COUNTS!$C$10,CASE_COUNTS!C123,IF(INCUBATION!$E$27=CASE_COUNTS!$D$10,CASE_COUNTS!D123,IF(INCUBATION!$E$27=CASE_COUNTS!$E$10,CASE_COUNTS!E123,CASE_COUNTS!C123)))</f>
        <v>0</v>
      </c>
      <c r="E517" s="89">
        <f>CASE_COUNTS!C123</f>
        <v>0</v>
      </c>
      <c r="F517" s="89">
        <f>CASE_COUNTS!D123</f>
        <v>0</v>
      </c>
      <c r="G517" s="89">
        <f>CASE_COUNTS!E123</f>
        <v>0</v>
      </c>
      <c r="H517" s="86">
        <f t="shared" si="299"/>
        <v>0</v>
      </c>
      <c r="I517" s="104" t="str">
        <f t="shared" si="300"/>
        <v xml:space="preserve"> </v>
      </c>
    </row>
    <row r="518" spans="3:9" x14ac:dyDescent="0.25">
      <c r="C518" s="83">
        <f ca="1">CASE_COUNTS!B124</f>
        <v>42722</v>
      </c>
      <c r="D518" s="89">
        <f>IF(INCUBATION!$E$27=CASE_COUNTS!$C$10,CASE_COUNTS!C124,IF(INCUBATION!$E$27=CASE_COUNTS!$D$10,CASE_COUNTS!D124,IF(INCUBATION!$E$27=CASE_COUNTS!$E$10,CASE_COUNTS!E124,CASE_COUNTS!C124)))</f>
        <v>0</v>
      </c>
      <c r="E518" s="89">
        <f>CASE_COUNTS!C124</f>
        <v>0</v>
      </c>
      <c r="F518" s="89">
        <f>CASE_COUNTS!D124</f>
        <v>0</v>
      </c>
      <c r="G518" s="89">
        <f>CASE_COUNTS!E124</f>
        <v>0</v>
      </c>
      <c r="H518" s="86">
        <f t="shared" si="299"/>
        <v>0</v>
      </c>
      <c r="I518" s="104" t="str">
        <f t="shared" si="300"/>
        <v xml:space="preserve"> </v>
      </c>
    </row>
    <row r="519" spans="3:9" x14ac:dyDescent="0.25">
      <c r="C519" s="83">
        <f ca="1">CASE_COUNTS!B125</f>
        <v>42723</v>
      </c>
      <c r="D519" s="89">
        <f>IF(INCUBATION!$E$27=CASE_COUNTS!$C$10,CASE_COUNTS!C125,IF(INCUBATION!$E$27=CASE_COUNTS!$D$10,CASE_COUNTS!D125,IF(INCUBATION!$E$27=CASE_COUNTS!$E$10,CASE_COUNTS!E125,CASE_COUNTS!C125)))</f>
        <v>0</v>
      </c>
      <c r="E519" s="89">
        <f>CASE_COUNTS!C125</f>
        <v>0</v>
      </c>
      <c r="F519" s="89">
        <f>CASE_COUNTS!D125</f>
        <v>0</v>
      </c>
      <c r="G519" s="89">
        <f>CASE_COUNTS!E125</f>
        <v>0</v>
      </c>
      <c r="H519" s="86">
        <f t="shared" si="299"/>
        <v>0</v>
      </c>
      <c r="I519" s="104" t="str">
        <f t="shared" si="300"/>
        <v xml:space="preserve"> </v>
      </c>
    </row>
    <row r="520" spans="3:9" x14ac:dyDescent="0.25">
      <c r="C520" s="83">
        <f ca="1">CASE_COUNTS!B126</f>
        <v>42724</v>
      </c>
      <c r="D520" s="89">
        <f>IF(INCUBATION!$E$27=CASE_COUNTS!$C$10,CASE_COUNTS!C126,IF(INCUBATION!$E$27=CASE_COUNTS!$D$10,CASE_COUNTS!D126,IF(INCUBATION!$E$27=CASE_COUNTS!$E$10,CASE_COUNTS!E126,CASE_COUNTS!C126)))</f>
        <v>0</v>
      </c>
      <c r="E520" s="89">
        <f>CASE_COUNTS!C126</f>
        <v>0</v>
      </c>
      <c r="F520" s="89">
        <f>CASE_COUNTS!D126</f>
        <v>0</v>
      </c>
      <c r="G520" s="89">
        <f>CASE_COUNTS!E126</f>
        <v>0</v>
      </c>
      <c r="H520" s="86">
        <f t="shared" si="299"/>
        <v>0</v>
      </c>
      <c r="I520" s="104" t="str">
        <f t="shared" si="300"/>
        <v xml:space="preserve"> </v>
      </c>
    </row>
    <row r="521" spans="3:9" x14ac:dyDescent="0.25">
      <c r="C521" s="83">
        <f ca="1">CASE_COUNTS!B127</f>
        <v>42725</v>
      </c>
      <c r="D521" s="89">
        <f>IF(INCUBATION!$E$27=CASE_COUNTS!$C$10,CASE_COUNTS!C127,IF(INCUBATION!$E$27=CASE_COUNTS!$D$10,CASE_COUNTS!D127,IF(INCUBATION!$E$27=CASE_COUNTS!$E$10,CASE_COUNTS!E127,CASE_COUNTS!C127)))</f>
        <v>0</v>
      </c>
      <c r="E521" s="89">
        <f>CASE_COUNTS!C127</f>
        <v>0</v>
      </c>
      <c r="F521" s="89">
        <f>CASE_COUNTS!D127</f>
        <v>0</v>
      </c>
      <c r="G521" s="89">
        <f>CASE_COUNTS!E127</f>
        <v>0</v>
      </c>
      <c r="H521" s="86">
        <f t="shared" si="299"/>
        <v>0</v>
      </c>
      <c r="I521" s="104" t="str">
        <f t="shared" si="300"/>
        <v xml:space="preserve"> </v>
      </c>
    </row>
    <row r="522" spans="3:9" x14ac:dyDescent="0.25">
      <c r="C522" s="83">
        <f ca="1">CASE_COUNTS!B128</f>
        <v>42726</v>
      </c>
      <c r="D522" s="89">
        <f>IF(INCUBATION!$E$27=CASE_COUNTS!$C$10,CASE_COUNTS!C128,IF(INCUBATION!$E$27=CASE_COUNTS!$D$10,CASE_COUNTS!D128,IF(INCUBATION!$E$27=CASE_COUNTS!$E$10,CASE_COUNTS!E128,CASE_COUNTS!C128)))</f>
        <v>0</v>
      </c>
      <c r="E522" s="89">
        <f>CASE_COUNTS!C128</f>
        <v>0</v>
      </c>
      <c r="F522" s="89">
        <f>CASE_COUNTS!D128</f>
        <v>0</v>
      </c>
      <c r="G522" s="89">
        <f>CASE_COUNTS!E128</f>
        <v>0</v>
      </c>
      <c r="H522" s="86">
        <f t="shared" si="299"/>
        <v>0</v>
      </c>
      <c r="I522" s="104" t="str">
        <f t="shared" si="300"/>
        <v xml:space="preserve"> </v>
      </c>
    </row>
    <row r="523" spans="3:9" x14ac:dyDescent="0.25">
      <c r="C523" s="83">
        <f ca="1">CASE_COUNTS!B129</f>
        <v>42727</v>
      </c>
      <c r="D523" s="89">
        <f>IF(INCUBATION!$E$27=CASE_COUNTS!$C$10,CASE_COUNTS!C129,IF(INCUBATION!$E$27=CASE_COUNTS!$D$10,CASE_COUNTS!D129,IF(INCUBATION!$E$27=CASE_COUNTS!$E$10,CASE_COUNTS!E129,CASE_COUNTS!C129)))</f>
        <v>0</v>
      </c>
      <c r="E523" s="89">
        <f>CASE_COUNTS!C129</f>
        <v>0</v>
      </c>
      <c r="F523" s="89">
        <f>CASE_COUNTS!D129</f>
        <v>0</v>
      </c>
      <c r="G523" s="89">
        <f>CASE_COUNTS!E129</f>
        <v>0</v>
      </c>
      <c r="H523" s="86">
        <f t="shared" si="299"/>
        <v>0</v>
      </c>
      <c r="I523" s="104" t="str">
        <f t="shared" si="300"/>
        <v xml:space="preserve"> </v>
      </c>
    </row>
    <row r="524" spans="3:9" x14ac:dyDescent="0.25">
      <c r="C524" s="83">
        <f ca="1">CASE_COUNTS!B130</f>
        <v>42728</v>
      </c>
      <c r="D524" s="89">
        <f>IF(INCUBATION!$E$27=CASE_COUNTS!$C$10,CASE_COUNTS!C130,IF(INCUBATION!$E$27=CASE_COUNTS!$D$10,CASE_COUNTS!D130,IF(INCUBATION!$E$27=CASE_COUNTS!$E$10,CASE_COUNTS!E130,CASE_COUNTS!C130)))</f>
        <v>0</v>
      </c>
      <c r="E524" s="89">
        <f>CASE_COUNTS!C130</f>
        <v>0</v>
      </c>
      <c r="F524" s="89">
        <f>CASE_COUNTS!D130</f>
        <v>0</v>
      </c>
      <c r="G524" s="89">
        <f>CASE_COUNTS!E130</f>
        <v>0</v>
      </c>
      <c r="H524" s="86">
        <f t="shared" si="299"/>
        <v>0</v>
      </c>
      <c r="I524" s="104" t="str">
        <f t="shared" si="300"/>
        <v xml:space="preserve"> </v>
      </c>
    </row>
    <row r="525" spans="3:9" x14ac:dyDescent="0.25">
      <c r="C525" s="83">
        <f ca="1">CASE_COUNTS!B131</f>
        <v>42729</v>
      </c>
      <c r="D525" s="89">
        <f>IF(INCUBATION!$E$27=CASE_COUNTS!$C$10,CASE_COUNTS!C131,IF(INCUBATION!$E$27=CASE_COUNTS!$D$10,CASE_COUNTS!D131,IF(INCUBATION!$E$27=CASE_COUNTS!$E$10,CASE_COUNTS!E131,CASE_COUNTS!C131)))</f>
        <v>0</v>
      </c>
      <c r="E525" s="89">
        <f>CASE_COUNTS!C131</f>
        <v>0</v>
      </c>
      <c r="F525" s="89">
        <f>CASE_COUNTS!D131</f>
        <v>0</v>
      </c>
      <c r="G525" s="89">
        <f>CASE_COUNTS!E131</f>
        <v>0</v>
      </c>
      <c r="H525" s="86">
        <f t="shared" si="299"/>
        <v>0</v>
      </c>
      <c r="I525" s="104" t="str">
        <f t="shared" si="300"/>
        <v xml:space="preserve"> </v>
      </c>
    </row>
    <row r="526" spans="3:9" x14ac:dyDescent="0.25">
      <c r="C526" s="83">
        <f ca="1">CASE_COUNTS!B132</f>
        <v>42730</v>
      </c>
      <c r="D526" s="89">
        <f>IF(INCUBATION!$E$27=CASE_COUNTS!$C$10,CASE_COUNTS!C132,IF(INCUBATION!$E$27=CASE_COUNTS!$D$10,CASE_COUNTS!D132,IF(INCUBATION!$E$27=CASE_COUNTS!$E$10,CASE_COUNTS!E132,CASE_COUNTS!C132)))</f>
        <v>0</v>
      </c>
      <c r="E526" s="89">
        <f>CASE_COUNTS!C132</f>
        <v>0</v>
      </c>
      <c r="F526" s="89">
        <f>CASE_COUNTS!D132</f>
        <v>0</v>
      </c>
      <c r="G526" s="89">
        <f>CASE_COUNTS!E132</f>
        <v>0</v>
      </c>
      <c r="H526" s="86">
        <f t="shared" si="299"/>
        <v>0</v>
      </c>
      <c r="I526" s="104" t="str">
        <f t="shared" si="300"/>
        <v xml:space="preserve"> </v>
      </c>
    </row>
    <row r="527" spans="3:9" x14ac:dyDescent="0.25">
      <c r="C527" s="83">
        <f ca="1">CASE_COUNTS!B133</f>
        <v>42731</v>
      </c>
      <c r="D527" s="89">
        <f>IF(INCUBATION!$E$27=CASE_COUNTS!$C$10,CASE_COUNTS!C133,IF(INCUBATION!$E$27=CASE_COUNTS!$D$10,CASE_COUNTS!D133,IF(INCUBATION!$E$27=CASE_COUNTS!$E$10,CASE_COUNTS!E133,CASE_COUNTS!C133)))</f>
        <v>0</v>
      </c>
      <c r="E527" s="89">
        <f>CASE_COUNTS!C133</f>
        <v>0</v>
      </c>
      <c r="F527" s="89">
        <f>CASE_COUNTS!D133</f>
        <v>0</v>
      </c>
      <c r="G527" s="89">
        <f>CASE_COUNTS!E133</f>
        <v>0</v>
      </c>
      <c r="H527" s="86">
        <f t="shared" si="299"/>
        <v>0</v>
      </c>
      <c r="I527" s="104" t="str">
        <f t="shared" si="300"/>
        <v xml:space="preserve"> </v>
      </c>
    </row>
    <row r="528" spans="3:9" x14ac:dyDescent="0.25">
      <c r="C528" s="83">
        <f ca="1">CASE_COUNTS!B134</f>
        <v>42732</v>
      </c>
      <c r="D528" s="89">
        <f>IF(INCUBATION!$E$27=CASE_COUNTS!$C$10,CASE_COUNTS!C134,IF(INCUBATION!$E$27=CASE_COUNTS!$D$10,CASE_COUNTS!D134,IF(INCUBATION!$E$27=CASE_COUNTS!$E$10,CASE_COUNTS!E134,CASE_COUNTS!C134)))</f>
        <v>0</v>
      </c>
      <c r="E528" s="89">
        <f>CASE_COUNTS!C134</f>
        <v>0</v>
      </c>
      <c r="F528" s="89">
        <f>CASE_COUNTS!D134</f>
        <v>0</v>
      </c>
      <c r="G528" s="89">
        <f>CASE_COUNTS!E134</f>
        <v>0</v>
      </c>
      <c r="H528" s="86">
        <f t="shared" si="299"/>
        <v>0</v>
      </c>
      <c r="I528" s="104" t="str">
        <f t="shared" si="300"/>
        <v xml:space="preserve"> </v>
      </c>
    </row>
    <row r="529" spans="3:9" x14ac:dyDescent="0.25">
      <c r="C529" s="83">
        <f ca="1">CASE_COUNTS!B135</f>
        <v>42733</v>
      </c>
      <c r="D529" s="89">
        <f>IF(INCUBATION!$E$27=CASE_COUNTS!$C$10,CASE_COUNTS!C135,IF(INCUBATION!$E$27=CASE_COUNTS!$D$10,CASE_COUNTS!D135,IF(INCUBATION!$E$27=CASE_COUNTS!$E$10,CASE_COUNTS!E135,CASE_COUNTS!C135)))</f>
        <v>0</v>
      </c>
      <c r="E529" s="89">
        <f>CASE_COUNTS!C135</f>
        <v>0</v>
      </c>
      <c r="F529" s="89">
        <f>CASE_COUNTS!D135</f>
        <v>0</v>
      </c>
      <c r="G529" s="89">
        <f>CASE_COUNTS!E135</f>
        <v>0</v>
      </c>
      <c r="H529" s="86">
        <f t="shared" si="299"/>
        <v>0</v>
      </c>
      <c r="I529" s="104" t="str">
        <f t="shared" si="300"/>
        <v xml:space="preserve"> </v>
      </c>
    </row>
    <row r="530" spans="3:9" x14ac:dyDescent="0.25">
      <c r="C530" s="83">
        <f ca="1">CASE_COUNTS!B136</f>
        <v>42734</v>
      </c>
      <c r="D530" s="89">
        <f>IF(INCUBATION!$E$27=CASE_COUNTS!$C$10,CASE_COUNTS!C136,IF(INCUBATION!$E$27=CASE_COUNTS!$D$10,CASE_COUNTS!D136,IF(INCUBATION!$E$27=CASE_COUNTS!$E$10,CASE_COUNTS!E136,CASE_COUNTS!C136)))</f>
        <v>0</v>
      </c>
      <c r="E530" s="89">
        <f>CASE_COUNTS!C136</f>
        <v>0</v>
      </c>
      <c r="F530" s="89">
        <f>CASE_COUNTS!D136</f>
        <v>0</v>
      </c>
      <c r="G530" s="89">
        <f>CASE_COUNTS!E136</f>
        <v>0</v>
      </c>
      <c r="H530" s="86">
        <f t="shared" si="299"/>
        <v>0</v>
      </c>
      <c r="I530" s="104" t="str">
        <f t="shared" si="300"/>
        <v xml:space="preserve"> </v>
      </c>
    </row>
    <row r="531" spans="3:9" x14ac:dyDescent="0.25">
      <c r="C531" s="83">
        <f ca="1">CASE_COUNTS!B137</f>
        <v>42735</v>
      </c>
      <c r="D531" s="89">
        <f>IF(INCUBATION!$E$27=CASE_COUNTS!$C$10,CASE_COUNTS!C137,IF(INCUBATION!$E$27=CASE_COUNTS!$D$10,CASE_COUNTS!D137,IF(INCUBATION!$E$27=CASE_COUNTS!$E$10,CASE_COUNTS!E137,CASE_COUNTS!C137)))</f>
        <v>0</v>
      </c>
      <c r="E531" s="89">
        <f>CASE_COUNTS!C137</f>
        <v>0</v>
      </c>
      <c r="F531" s="89">
        <f>CASE_COUNTS!D137</f>
        <v>0</v>
      </c>
      <c r="G531" s="89">
        <f>CASE_COUNTS!E137</f>
        <v>0</v>
      </c>
      <c r="H531" s="86">
        <f t="shared" si="299"/>
        <v>0</v>
      </c>
      <c r="I531" s="104" t="str">
        <f t="shared" si="300"/>
        <v xml:space="preserve"> </v>
      </c>
    </row>
    <row r="532" spans="3:9" x14ac:dyDescent="0.25">
      <c r="C532" s="83">
        <f ca="1">CASE_COUNTS!B138</f>
        <v>42736</v>
      </c>
      <c r="D532" s="89">
        <f>IF(INCUBATION!$E$27=CASE_COUNTS!$C$10,CASE_COUNTS!C138,IF(INCUBATION!$E$27=CASE_COUNTS!$D$10,CASE_COUNTS!D138,IF(INCUBATION!$E$27=CASE_COUNTS!$E$10,CASE_COUNTS!E138,CASE_COUNTS!C138)))</f>
        <v>0</v>
      </c>
      <c r="E532" s="89">
        <f>CASE_COUNTS!C138</f>
        <v>0</v>
      </c>
      <c r="F532" s="89">
        <f>CASE_COUNTS!D138</f>
        <v>0</v>
      </c>
      <c r="G532" s="89">
        <f>CASE_COUNTS!E138</f>
        <v>0</v>
      </c>
      <c r="H532" s="86">
        <f t="shared" si="299"/>
        <v>0</v>
      </c>
      <c r="I532" s="104" t="str">
        <f t="shared" si="300"/>
        <v xml:space="preserve"> </v>
      </c>
    </row>
    <row r="533" spans="3:9" x14ac:dyDescent="0.25">
      <c r="C533" s="83">
        <f ca="1">CASE_COUNTS!B139</f>
        <v>42737</v>
      </c>
      <c r="D533" s="89">
        <f>IF(INCUBATION!$E$27=CASE_COUNTS!$C$10,CASE_COUNTS!C139,IF(INCUBATION!$E$27=CASE_COUNTS!$D$10,CASE_COUNTS!D139,IF(INCUBATION!$E$27=CASE_COUNTS!$E$10,CASE_COUNTS!E139,CASE_COUNTS!C139)))</f>
        <v>0</v>
      </c>
      <c r="E533" s="89">
        <f>CASE_COUNTS!C139</f>
        <v>0</v>
      </c>
      <c r="F533" s="89">
        <f>CASE_COUNTS!D139</f>
        <v>0</v>
      </c>
      <c r="G533" s="89">
        <f>CASE_COUNTS!E139</f>
        <v>0</v>
      </c>
      <c r="H533" s="86">
        <f t="shared" si="299"/>
        <v>0</v>
      </c>
      <c r="I533" s="104" t="str">
        <f t="shared" ref="I533:I564" si="301">IF(H533=0," ",C533)</f>
        <v xml:space="preserve"> </v>
      </c>
    </row>
    <row r="534" spans="3:9" x14ac:dyDescent="0.25">
      <c r="C534" s="83">
        <f ca="1">CASE_COUNTS!B140</f>
        <v>42738</v>
      </c>
      <c r="D534" s="89">
        <f>IF(INCUBATION!$E$27=CASE_COUNTS!$C$10,CASE_COUNTS!C140,IF(INCUBATION!$E$27=CASE_COUNTS!$D$10,CASE_COUNTS!D140,IF(INCUBATION!$E$27=CASE_COUNTS!$E$10,CASE_COUNTS!E140,CASE_COUNTS!C140)))</f>
        <v>0</v>
      </c>
      <c r="E534" s="89">
        <f>CASE_COUNTS!C140</f>
        <v>0</v>
      </c>
      <c r="F534" s="89">
        <f>CASE_COUNTS!D140</f>
        <v>0</v>
      </c>
      <c r="G534" s="89">
        <f>CASE_COUNTS!E140</f>
        <v>0</v>
      </c>
      <c r="H534" s="86">
        <f t="shared" ref="H534:H597" si="302">SUM(D534:G534)</f>
        <v>0</v>
      </c>
      <c r="I534" s="104" t="str">
        <f t="shared" si="301"/>
        <v xml:space="preserve"> </v>
      </c>
    </row>
    <row r="535" spans="3:9" x14ac:dyDescent="0.25">
      <c r="C535" s="83">
        <f ca="1">CASE_COUNTS!B141</f>
        <v>42739</v>
      </c>
      <c r="D535" s="89">
        <f>IF(INCUBATION!$E$27=CASE_COUNTS!$C$10,CASE_COUNTS!C141,IF(INCUBATION!$E$27=CASE_COUNTS!$D$10,CASE_COUNTS!D141,IF(INCUBATION!$E$27=CASE_COUNTS!$E$10,CASE_COUNTS!E141,CASE_COUNTS!C141)))</f>
        <v>0</v>
      </c>
      <c r="E535" s="89">
        <f>CASE_COUNTS!C141</f>
        <v>0</v>
      </c>
      <c r="F535" s="89">
        <f>CASE_COUNTS!D141</f>
        <v>0</v>
      </c>
      <c r="G535" s="89">
        <f>CASE_COUNTS!E141</f>
        <v>0</v>
      </c>
      <c r="H535" s="86">
        <f t="shared" si="302"/>
        <v>0</v>
      </c>
      <c r="I535" s="104" t="str">
        <f t="shared" si="301"/>
        <v xml:space="preserve"> </v>
      </c>
    </row>
    <row r="536" spans="3:9" x14ac:dyDescent="0.25">
      <c r="C536" s="83">
        <f ca="1">CASE_COUNTS!B142</f>
        <v>42740</v>
      </c>
      <c r="D536" s="89">
        <f>IF(INCUBATION!$E$27=CASE_COUNTS!$C$10,CASE_COUNTS!C142,IF(INCUBATION!$E$27=CASE_COUNTS!$D$10,CASE_COUNTS!D142,IF(INCUBATION!$E$27=CASE_COUNTS!$E$10,CASE_COUNTS!E142,CASE_COUNTS!C142)))</f>
        <v>0</v>
      </c>
      <c r="E536" s="89">
        <f>CASE_COUNTS!C142</f>
        <v>0</v>
      </c>
      <c r="F536" s="89">
        <f>CASE_COUNTS!D142</f>
        <v>0</v>
      </c>
      <c r="G536" s="89">
        <f>CASE_COUNTS!E142</f>
        <v>0</v>
      </c>
      <c r="H536" s="86">
        <f t="shared" si="302"/>
        <v>0</v>
      </c>
      <c r="I536" s="104" t="str">
        <f t="shared" si="301"/>
        <v xml:space="preserve"> </v>
      </c>
    </row>
    <row r="537" spans="3:9" x14ac:dyDescent="0.25">
      <c r="C537" s="83">
        <f ca="1">CASE_COUNTS!B143</f>
        <v>42741</v>
      </c>
      <c r="D537" s="89">
        <f>IF(INCUBATION!$E$27=CASE_COUNTS!$C$10,CASE_COUNTS!C143,IF(INCUBATION!$E$27=CASE_COUNTS!$D$10,CASE_COUNTS!D143,IF(INCUBATION!$E$27=CASE_COUNTS!$E$10,CASE_COUNTS!E143,CASE_COUNTS!C143)))</f>
        <v>0</v>
      </c>
      <c r="E537" s="89">
        <f>CASE_COUNTS!C143</f>
        <v>0</v>
      </c>
      <c r="F537" s="89">
        <f>CASE_COUNTS!D143</f>
        <v>0</v>
      </c>
      <c r="G537" s="89">
        <f>CASE_COUNTS!E143</f>
        <v>0</v>
      </c>
      <c r="H537" s="86">
        <f t="shared" si="302"/>
        <v>0</v>
      </c>
      <c r="I537" s="104" t="str">
        <f t="shared" si="301"/>
        <v xml:space="preserve"> </v>
      </c>
    </row>
    <row r="538" spans="3:9" x14ac:dyDescent="0.25">
      <c r="C538" s="83">
        <f ca="1">CASE_COUNTS!B144</f>
        <v>42742</v>
      </c>
      <c r="D538" s="89">
        <f>IF(INCUBATION!$E$27=CASE_COUNTS!$C$10,CASE_COUNTS!C144,IF(INCUBATION!$E$27=CASE_COUNTS!$D$10,CASE_COUNTS!D144,IF(INCUBATION!$E$27=CASE_COUNTS!$E$10,CASE_COUNTS!E144,CASE_COUNTS!C144)))</f>
        <v>0</v>
      </c>
      <c r="E538" s="89">
        <f>CASE_COUNTS!C144</f>
        <v>0</v>
      </c>
      <c r="F538" s="89">
        <f>CASE_COUNTS!D144</f>
        <v>0</v>
      </c>
      <c r="G538" s="89">
        <f>CASE_COUNTS!E144</f>
        <v>0</v>
      </c>
      <c r="H538" s="86">
        <f t="shared" si="302"/>
        <v>0</v>
      </c>
      <c r="I538" s="104" t="str">
        <f t="shared" si="301"/>
        <v xml:space="preserve"> </v>
      </c>
    </row>
    <row r="539" spans="3:9" x14ac:dyDescent="0.25">
      <c r="C539" s="83">
        <f ca="1">CASE_COUNTS!B145</f>
        <v>42743</v>
      </c>
      <c r="D539" s="89">
        <f>IF(INCUBATION!$E$27=CASE_COUNTS!$C$10,CASE_COUNTS!C145,IF(INCUBATION!$E$27=CASE_COUNTS!$D$10,CASE_COUNTS!D145,IF(INCUBATION!$E$27=CASE_COUNTS!$E$10,CASE_COUNTS!E145,CASE_COUNTS!C145)))</f>
        <v>0</v>
      </c>
      <c r="E539" s="89">
        <f>CASE_COUNTS!C145</f>
        <v>0</v>
      </c>
      <c r="F539" s="89">
        <f>CASE_COUNTS!D145</f>
        <v>0</v>
      </c>
      <c r="G539" s="89">
        <f>CASE_COUNTS!E145</f>
        <v>0</v>
      </c>
      <c r="H539" s="86">
        <f t="shared" si="302"/>
        <v>0</v>
      </c>
      <c r="I539" s="104" t="str">
        <f t="shared" si="301"/>
        <v xml:space="preserve"> </v>
      </c>
    </row>
    <row r="540" spans="3:9" x14ac:dyDescent="0.25">
      <c r="C540" s="83">
        <f ca="1">CASE_COUNTS!B146</f>
        <v>42744</v>
      </c>
      <c r="D540" s="89">
        <f>IF(INCUBATION!$E$27=CASE_COUNTS!$C$10,CASE_COUNTS!C146,IF(INCUBATION!$E$27=CASE_COUNTS!$D$10,CASE_COUNTS!D146,IF(INCUBATION!$E$27=CASE_COUNTS!$E$10,CASE_COUNTS!E146,CASE_COUNTS!C146)))</f>
        <v>0</v>
      </c>
      <c r="E540" s="89">
        <f>CASE_COUNTS!C146</f>
        <v>0</v>
      </c>
      <c r="F540" s="89">
        <f>CASE_COUNTS!D146</f>
        <v>0</v>
      </c>
      <c r="G540" s="89">
        <f>CASE_COUNTS!E146</f>
        <v>0</v>
      </c>
      <c r="H540" s="86">
        <f t="shared" si="302"/>
        <v>0</v>
      </c>
      <c r="I540" s="104" t="str">
        <f t="shared" si="301"/>
        <v xml:space="preserve"> </v>
      </c>
    </row>
    <row r="541" spans="3:9" x14ac:dyDescent="0.25">
      <c r="C541" s="83">
        <f ca="1">CASE_COUNTS!B147</f>
        <v>42745</v>
      </c>
      <c r="D541" s="89">
        <f>IF(INCUBATION!$E$27=CASE_COUNTS!$C$10,CASE_COUNTS!C147,IF(INCUBATION!$E$27=CASE_COUNTS!$D$10,CASE_COUNTS!D147,IF(INCUBATION!$E$27=CASE_COUNTS!$E$10,CASE_COUNTS!E147,CASE_COUNTS!C147)))</f>
        <v>0</v>
      </c>
      <c r="E541" s="89">
        <f>CASE_COUNTS!C147</f>
        <v>0</v>
      </c>
      <c r="F541" s="89">
        <f>CASE_COUNTS!D147</f>
        <v>0</v>
      </c>
      <c r="G541" s="89">
        <f>CASE_COUNTS!E147</f>
        <v>0</v>
      </c>
      <c r="H541" s="86">
        <f t="shared" si="302"/>
        <v>0</v>
      </c>
      <c r="I541" s="104" t="str">
        <f t="shared" si="301"/>
        <v xml:space="preserve"> </v>
      </c>
    </row>
    <row r="542" spans="3:9" x14ac:dyDescent="0.25">
      <c r="C542" s="83">
        <f ca="1">CASE_COUNTS!B148</f>
        <v>42746</v>
      </c>
      <c r="D542" s="89">
        <f>IF(INCUBATION!$E$27=CASE_COUNTS!$C$10,CASE_COUNTS!C148,IF(INCUBATION!$E$27=CASE_COUNTS!$D$10,CASE_COUNTS!D148,IF(INCUBATION!$E$27=CASE_COUNTS!$E$10,CASE_COUNTS!E148,CASE_COUNTS!C148)))</f>
        <v>0</v>
      </c>
      <c r="E542" s="89">
        <f>CASE_COUNTS!C148</f>
        <v>0</v>
      </c>
      <c r="F542" s="89">
        <f>CASE_COUNTS!D148</f>
        <v>0</v>
      </c>
      <c r="G542" s="89">
        <f>CASE_COUNTS!E148</f>
        <v>0</v>
      </c>
      <c r="H542" s="86">
        <f t="shared" si="302"/>
        <v>0</v>
      </c>
      <c r="I542" s="104" t="str">
        <f t="shared" si="301"/>
        <v xml:space="preserve"> </v>
      </c>
    </row>
    <row r="543" spans="3:9" x14ac:dyDescent="0.25">
      <c r="C543" s="83">
        <f ca="1">CASE_COUNTS!B149</f>
        <v>42747</v>
      </c>
      <c r="D543" s="89">
        <f>IF(INCUBATION!$E$27=CASE_COUNTS!$C$10,CASE_COUNTS!C149,IF(INCUBATION!$E$27=CASE_COUNTS!$D$10,CASE_COUNTS!D149,IF(INCUBATION!$E$27=CASE_COUNTS!$E$10,CASE_COUNTS!E149,CASE_COUNTS!C149)))</f>
        <v>0</v>
      </c>
      <c r="E543" s="89">
        <f>CASE_COUNTS!C149</f>
        <v>0</v>
      </c>
      <c r="F543" s="89">
        <f>CASE_COUNTS!D149</f>
        <v>0</v>
      </c>
      <c r="G543" s="89">
        <f>CASE_COUNTS!E149</f>
        <v>0</v>
      </c>
      <c r="H543" s="86">
        <f t="shared" si="302"/>
        <v>0</v>
      </c>
      <c r="I543" s="104" t="str">
        <f t="shared" si="301"/>
        <v xml:space="preserve"> </v>
      </c>
    </row>
    <row r="544" spans="3:9" x14ac:dyDescent="0.25">
      <c r="C544" s="83">
        <f ca="1">CASE_COUNTS!B150</f>
        <v>42748</v>
      </c>
      <c r="D544" s="89">
        <f>IF(INCUBATION!$E$27=CASE_COUNTS!$C$10,CASE_COUNTS!C150,IF(INCUBATION!$E$27=CASE_COUNTS!$D$10,CASE_COUNTS!D150,IF(INCUBATION!$E$27=CASE_COUNTS!$E$10,CASE_COUNTS!E150,CASE_COUNTS!C150)))</f>
        <v>0</v>
      </c>
      <c r="E544" s="89">
        <f>CASE_COUNTS!C150</f>
        <v>0</v>
      </c>
      <c r="F544" s="89">
        <f>CASE_COUNTS!D150</f>
        <v>0</v>
      </c>
      <c r="G544" s="89">
        <f>CASE_COUNTS!E150</f>
        <v>0</v>
      </c>
      <c r="H544" s="86">
        <f t="shared" si="302"/>
        <v>0</v>
      </c>
      <c r="I544" s="104" t="str">
        <f t="shared" si="301"/>
        <v xml:space="preserve"> </v>
      </c>
    </row>
    <row r="545" spans="3:9" x14ac:dyDescent="0.25">
      <c r="C545" s="83">
        <f ca="1">CASE_COUNTS!B151</f>
        <v>42749</v>
      </c>
      <c r="D545" s="89">
        <f>IF(INCUBATION!$E$27=CASE_COUNTS!$C$10,CASE_COUNTS!C151,IF(INCUBATION!$E$27=CASE_COUNTS!$D$10,CASE_COUNTS!D151,IF(INCUBATION!$E$27=CASE_COUNTS!$E$10,CASE_COUNTS!E151,CASE_COUNTS!C151)))</f>
        <v>0</v>
      </c>
      <c r="E545" s="89">
        <f>CASE_COUNTS!C151</f>
        <v>0</v>
      </c>
      <c r="F545" s="89">
        <f>CASE_COUNTS!D151</f>
        <v>0</v>
      </c>
      <c r="G545" s="89">
        <f>CASE_COUNTS!E151</f>
        <v>0</v>
      </c>
      <c r="H545" s="86">
        <f t="shared" si="302"/>
        <v>0</v>
      </c>
      <c r="I545" s="104" t="str">
        <f t="shared" si="301"/>
        <v xml:space="preserve"> </v>
      </c>
    </row>
    <row r="546" spans="3:9" x14ac:dyDescent="0.25">
      <c r="C546" s="83">
        <f ca="1">CASE_COUNTS!B152</f>
        <v>42750</v>
      </c>
      <c r="D546" s="89">
        <f>IF(INCUBATION!$E$27=CASE_COUNTS!$C$10,CASE_COUNTS!C152,IF(INCUBATION!$E$27=CASE_COUNTS!$D$10,CASE_COUNTS!D152,IF(INCUBATION!$E$27=CASE_COUNTS!$E$10,CASE_COUNTS!E152,CASE_COUNTS!C152)))</f>
        <v>0</v>
      </c>
      <c r="E546" s="89">
        <f>CASE_COUNTS!C152</f>
        <v>0</v>
      </c>
      <c r="F546" s="89">
        <f>CASE_COUNTS!D152</f>
        <v>0</v>
      </c>
      <c r="G546" s="89">
        <f>CASE_COUNTS!E152</f>
        <v>0</v>
      </c>
      <c r="H546" s="86">
        <f t="shared" si="302"/>
        <v>0</v>
      </c>
      <c r="I546" s="104" t="str">
        <f t="shared" si="301"/>
        <v xml:space="preserve"> </v>
      </c>
    </row>
    <row r="547" spans="3:9" x14ac:dyDescent="0.25">
      <c r="C547" s="83">
        <f ca="1">CASE_COUNTS!B153</f>
        <v>42751</v>
      </c>
      <c r="D547" s="89">
        <f>IF(INCUBATION!$E$27=CASE_COUNTS!$C$10,CASE_COUNTS!C153,IF(INCUBATION!$E$27=CASE_COUNTS!$D$10,CASE_COUNTS!D153,IF(INCUBATION!$E$27=CASE_COUNTS!$E$10,CASE_COUNTS!E153,CASE_COUNTS!C153)))</f>
        <v>0</v>
      </c>
      <c r="E547" s="89">
        <f>CASE_COUNTS!C153</f>
        <v>0</v>
      </c>
      <c r="F547" s="89">
        <f>CASE_COUNTS!D153</f>
        <v>0</v>
      </c>
      <c r="G547" s="89">
        <f>CASE_COUNTS!E153</f>
        <v>0</v>
      </c>
      <c r="H547" s="86">
        <f t="shared" si="302"/>
        <v>0</v>
      </c>
      <c r="I547" s="104" t="str">
        <f t="shared" si="301"/>
        <v xml:space="preserve"> </v>
      </c>
    </row>
    <row r="548" spans="3:9" x14ac:dyDescent="0.25">
      <c r="C548" s="83">
        <f ca="1">CASE_COUNTS!B154</f>
        <v>42752</v>
      </c>
      <c r="D548" s="89">
        <f>IF(INCUBATION!$E$27=CASE_COUNTS!$C$10,CASE_COUNTS!C154,IF(INCUBATION!$E$27=CASE_COUNTS!$D$10,CASE_COUNTS!D154,IF(INCUBATION!$E$27=CASE_COUNTS!$E$10,CASE_COUNTS!E154,CASE_COUNTS!C154)))</f>
        <v>0</v>
      </c>
      <c r="E548" s="89">
        <f>CASE_COUNTS!C154</f>
        <v>0</v>
      </c>
      <c r="F548" s="89">
        <f>CASE_COUNTS!D154</f>
        <v>0</v>
      </c>
      <c r="G548" s="89">
        <f>CASE_COUNTS!E154</f>
        <v>0</v>
      </c>
      <c r="H548" s="86">
        <f t="shared" si="302"/>
        <v>0</v>
      </c>
      <c r="I548" s="104" t="str">
        <f t="shared" si="301"/>
        <v xml:space="preserve"> </v>
      </c>
    </row>
    <row r="549" spans="3:9" x14ac:dyDescent="0.25">
      <c r="C549" s="83">
        <f ca="1">CASE_COUNTS!B155</f>
        <v>42753</v>
      </c>
      <c r="D549" s="89">
        <f>IF(INCUBATION!$E$27=CASE_COUNTS!$C$10,CASE_COUNTS!C155,IF(INCUBATION!$E$27=CASE_COUNTS!$D$10,CASE_COUNTS!D155,IF(INCUBATION!$E$27=CASE_COUNTS!$E$10,CASE_COUNTS!E155,CASE_COUNTS!C155)))</f>
        <v>0</v>
      </c>
      <c r="E549" s="89">
        <f>CASE_COUNTS!C155</f>
        <v>0</v>
      </c>
      <c r="F549" s="89">
        <f>CASE_COUNTS!D155</f>
        <v>0</v>
      </c>
      <c r="G549" s="89">
        <f>CASE_COUNTS!E155</f>
        <v>0</v>
      </c>
      <c r="H549" s="86">
        <f t="shared" si="302"/>
        <v>0</v>
      </c>
      <c r="I549" s="104" t="str">
        <f t="shared" si="301"/>
        <v xml:space="preserve"> </v>
      </c>
    </row>
    <row r="550" spans="3:9" x14ac:dyDescent="0.25">
      <c r="C550" s="83">
        <f ca="1">CASE_COUNTS!B156</f>
        <v>42754</v>
      </c>
      <c r="D550" s="89">
        <f>IF(INCUBATION!$E$27=CASE_COUNTS!$C$10,CASE_COUNTS!C156,IF(INCUBATION!$E$27=CASE_COUNTS!$D$10,CASE_COUNTS!D156,IF(INCUBATION!$E$27=CASE_COUNTS!$E$10,CASE_COUNTS!E156,CASE_COUNTS!C156)))</f>
        <v>0</v>
      </c>
      <c r="E550" s="89">
        <f>CASE_COUNTS!C156</f>
        <v>0</v>
      </c>
      <c r="F550" s="89">
        <f>CASE_COUNTS!D156</f>
        <v>0</v>
      </c>
      <c r="G550" s="89">
        <f>CASE_COUNTS!E156</f>
        <v>0</v>
      </c>
      <c r="H550" s="86">
        <f t="shared" si="302"/>
        <v>0</v>
      </c>
      <c r="I550" s="104" t="str">
        <f t="shared" si="301"/>
        <v xml:space="preserve"> </v>
      </c>
    </row>
    <row r="551" spans="3:9" x14ac:dyDescent="0.25">
      <c r="C551" s="83">
        <f ca="1">CASE_COUNTS!B157</f>
        <v>42755</v>
      </c>
      <c r="D551" s="89">
        <f>IF(INCUBATION!$E$27=CASE_COUNTS!$C$10,CASE_COUNTS!C157,IF(INCUBATION!$E$27=CASE_COUNTS!$D$10,CASE_COUNTS!D157,IF(INCUBATION!$E$27=CASE_COUNTS!$E$10,CASE_COUNTS!E157,CASE_COUNTS!C157)))</f>
        <v>0</v>
      </c>
      <c r="E551" s="89">
        <f>CASE_COUNTS!C157</f>
        <v>0</v>
      </c>
      <c r="F551" s="89">
        <f>CASE_COUNTS!D157</f>
        <v>0</v>
      </c>
      <c r="G551" s="89">
        <f>CASE_COUNTS!E157</f>
        <v>0</v>
      </c>
      <c r="H551" s="86">
        <f t="shared" si="302"/>
        <v>0</v>
      </c>
      <c r="I551" s="104" t="str">
        <f t="shared" si="301"/>
        <v xml:space="preserve"> </v>
      </c>
    </row>
    <row r="552" spans="3:9" x14ac:dyDescent="0.25">
      <c r="C552" s="83">
        <f ca="1">CASE_COUNTS!B158</f>
        <v>42756</v>
      </c>
      <c r="D552" s="89">
        <f>IF(INCUBATION!$E$27=CASE_COUNTS!$C$10,CASE_COUNTS!C158,IF(INCUBATION!$E$27=CASE_COUNTS!$D$10,CASE_COUNTS!D158,IF(INCUBATION!$E$27=CASE_COUNTS!$E$10,CASE_COUNTS!E158,CASE_COUNTS!C158)))</f>
        <v>0</v>
      </c>
      <c r="E552" s="89">
        <f>CASE_COUNTS!C158</f>
        <v>0</v>
      </c>
      <c r="F552" s="89">
        <f>CASE_COUNTS!D158</f>
        <v>0</v>
      </c>
      <c r="G552" s="89">
        <f>CASE_COUNTS!E158</f>
        <v>0</v>
      </c>
      <c r="H552" s="86">
        <f t="shared" si="302"/>
        <v>0</v>
      </c>
      <c r="I552" s="104" t="str">
        <f t="shared" si="301"/>
        <v xml:space="preserve"> </v>
      </c>
    </row>
    <row r="553" spans="3:9" x14ac:dyDescent="0.25">
      <c r="C553" s="83">
        <f ca="1">CASE_COUNTS!B159</f>
        <v>42757</v>
      </c>
      <c r="D553" s="89">
        <f>IF(INCUBATION!$E$27=CASE_COUNTS!$C$10,CASE_COUNTS!C159,IF(INCUBATION!$E$27=CASE_COUNTS!$D$10,CASE_COUNTS!D159,IF(INCUBATION!$E$27=CASE_COUNTS!$E$10,CASE_COUNTS!E159,CASE_COUNTS!C159)))</f>
        <v>0</v>
      </c>
      <c r="E553" s="89">
        <f>CASE_COUNTS!C159</f>
        <v>0</v>
      </c>
      <c r="F553" s="89">
        <f>CASE_COUNTS!D159</f>
        <v>0</v>
      </c>
      <c r="G553" s="89">
        <f>CASE_COUNTS!E159</f>
        <v>0</v>
      </c>
      <c r="H553" s="86">
        <f t="shared" si="302"/>
        <v>0</v>
      </c>
      <c r="I553" s="104" t="str">
        <f t="shared" si="301"/>
        <v xml:space="preserve"> </v>
      </c>
    </row>
    <row r="554" spans="3:9" x14ac:dyDescent="0.25">
      <c r="C554" s="83">
        <f ca="1">CASE_COUNTS!B160</f>
        <v>42758</v>
      </c>
      <c r="D554" s="89">
        <f>IF(INCUBATION!$E$27=CASE_COUNTS!$C$10,CASE_COUNTS!C160,IF(INCUBATION!$E$27=CASE_COUNTS!$D$10,CASE_COUNTS!D160,IF(INCUBATION!$E$27=CASE_COUNTS!$E$10,CASE_COUNTS!E160,CASE_COUNTS!C160)))</f>
        <v>0</v>
      </c>
      <c r="E554" s="89">
        <f>CASE_COUNTS!C160</f>
        <v>0</v>
      </c>
      <c r="F554" s="89">
        <f>CASE_COUNTS!D160</f>
        <v>0</v>
      </c>
      <c r="G554" s="89">
        <f>CASE_COUNTS!E160</f>
        <v>0</v>
      </c>
      <c r="H554" s="86">
        <f t="shared" si="302"/>
        <v>0</v>
      </c>
      <c r="I554" s="104" t="str">
        <f t="shared" si="301"/>
        <v xml:space="preserve"> </v>
      </c>
    </row>
    <row r="555" spans="3:9" x14ac:dyDescent="0.25">
      <c r="C555" s="83">
        <f ca="1">CASE_COUNTS!B161</f>
        <v>42759</v>
      </c>
      <c r="D555" s="89">
        <f>IF(INCUBATION!$E$27=CASE_COUNTS!$C$10,CASE_COUNTS!C161,IF(INCUBATION!$E$27=CASE_COUNTS!$D$10,CASE_COUNTS!D161,IF(INCUBATION!$E$27=CASE_COUNTS!$E$10,CASE_COUNTS!E161,CASE_COUNTS!C161)))</f>
        <v>0</v>
      </c>
      <c r="E555" s="89">
        <f>CASE_COUNTS!C161</f>
        <v>0</v>
      </c>
      <c r="F555" s="89">
        <f>CASE_COUNTS!D161</f>
        <v>0</v>
      </c>
      <c r="G555" s="89">
        <f>CASE_COUNTS!E161</f>
        <v>0</v>
      </c>
      <c r="H555" s="86">
        <f t="shared" si="302"/>
        <v>0</v>
      </c>
      <c r="I555" s="104" t="str">
        <f t="shared" si="301"/>
        <v xml:space="preserve"> </v>
      </c>
    </row>
    <row r="556" spans="3:9" x14ac:dyDescent="0.25">
      <c r="C556" s="83">
        <f ca="1">CASE_COUNTS!B162</f>
        <v>42760</v>
      </c>
      <c r="D556" s="89">
        <f>IF(INCUBATION!$E$27=CASE_COUNTS!$C$10,CASE_COUNTS!C162,IF(INCUBATION!$E$27=CASE_COUNTS!$D$10,CASE_COUNTS!D162,IF(INCUBATION!$E$27=CASE_COUNTS!$E$10,CASE_COUNTS!E162,CASE_COUNTS!C162)))</f>
        <v>0</v>
      </c>
      <c r="E556" s="89">
        <f>CASE_COUNTS!C162</f>
        <v>0</v>
      </c>
      <c r="F556" s="89">
        <f>CASE_COUNTS!D162</f>
        <v>0</v>
      </c>
      <c r="G556" s="89">
        <f>CASE_COUNTS!E162</f>
        <v>0</v>
      </c>
      <c r="H556" s="86">
        <f t="shared" si="302"/>
        <v>0</v>
      </c>
      <c r="I556" s="104" t="str">
        <f t="shared" si="301"/>
        <v xml:space="preserve"> </v>
      </c>
    </row>
    <row r="557" spans="3:9" x14ac:dyDescent="0.25">
      <c r="C557" s="83">
        <f ca="1">CASE_COUNTS!B163</f>
        <v>42761</v>
      </c>
      <c r="D557" s="89">
        <f>IF(INCUBATION!$E$27=CASE_COUNTS!$C$10,CASE_COUNTS!C163,IF(INCUBATION!$E$27=CASE_COUNTS!$D$10,CASE_COUNTS!D163,IF(INCUBATION!$E$27=CASE_COUNTS!$E$10,CASE_COUNTS!E163,CASE_COUNTS!C163)))</f>
        <v>0</v>
      </c>
      <c r="E557" s="89">
        <f>CASE_COUNTS!C163</f>
        <v>0</v>
      </c>
      <c r="F557" s="89">
        <f>CASE_COUNTS!D163</f>
        <v>0</v>
      </c>
      <c r="G557" s="89">
        <f>CASE_COUNTS!E163</f>
        <v>0</v>
      </c>
      <c r="H557" s="86">
        <f t="shared" si="302"/>
        <v>0</v>
      </c>
      <c r="I557" s="104" t="str">
        <f t="shared" si="301"/>
        <v xml:space="preserve"> </v>
      </c>
    </row>
    <row r="558" spans="3:9" x14ac:dyDescent="0.25">
      <c r="C558" s="83">
        <f ca="1">CASE_COUNTS!B164</f>
        <v>42762</v>
      </c>
      <c r="D558" s="89">
        <f>IF(INCUBATION!$E$27=CASE_COUNTS!$C$10,CASE_COUNTS!C164,IF(INCUBATION!$E$27=CASE_COUNTS!$D$10,CASE_COUNTS!D164,IF(INCUBATION!$E$27=CASE_COUNTS!$E$10,CASE_COUNTS!E164,CASE_COUNTS!C164)))</f>
        <v>0</v>
      </c>
      <c r="E558" s="89">
        <f>CASE_COUNTS!C164</f>
        <v>0</v>
      </c>
      <c r="F558" s="89">
        <f>CASE_COUNTS!D164</f>
        <v>0</v>
      </c>
      <c r="G558" s="89">
        <f>CASE_COUNTS!E164</f>
        <v>0</v>
      </c>
      <c r="H558" s="86">
        <f t="shared" si="302"/>
        <v>0</v>
      </c>
      <c r="I558" s="104" t="str">
        <f t="shared" si="301"/>
        <v xml:space="preserve"> </v>
      </c>
    </row>
    <row r="559" spans="3:9" x14ac:dyDescent="0.25">
      <c r="C559" s="83">
        <f ca="1">CASE_COUNTS!B165</f>
        <v>42763</v>
      </c>
      <c r="D559" s="89">
        <f>IF(INCUBATION!$E$27=CASE_COUNTS!$C$10,CASE_COUNTS!C165,IF(INCUBATION!$E$27=CASE_COUNTS!$D$10,CASE_COUNTS!D165,IF(INCUBATION!$E$27=CASE_COUNTS!$E$10,CASE_COUNTS!E165,CASE_COUNTS!C165)))</f>
        <v>0</v>
      </c>
      <c r="E559" s="89">
        <f>CASE_COUNTS!C165</f>
        <v>0</v>
      </c>
      <c r="F559" s="89">
        <f>CASE_COUNTS!D165</f>
        <v>0</v>
      </c>
      <c r="G559" s="89">
        <f>CASE_COUNTS!E165</f>
        <v>0</v>
      </c>
      <c r="H559" s="86">
        <f t="shared" si="302"/>
        <v>0</v>
      </c>
      <c r="I559" s="104" t="str">
        <f t="shared" si="301"/>
        <v xml:space="preserve"> </v>
      </c>
    </row>
    <row r="560" spans="3:9" x14ac:dyDescent="0.25">
      <c r="C560" s="83">
        <f ca="1">CASE_COUNTS!B166</f>
        <v>42764</v>
      </c>
      <c r="D560" s="89">
        <f>IF(INCUBATION!$E$27=CASE_COUNTS!$C$10,CASE_COUNTS!C166,IF(INCUBATION!$E$27=CASE_COUNTS!$D$10,CASE_COUNTS!D166,IF(INCUBATION!$E$27=CASE_COUNTS!$E$10,CASE_COUNTS!E166,CASE_COUNTS!C166)))</f>
        <v>0</v>
      </c>
      <c r="E560" s="89">
        <f>CASE_COUNTS!C166</f>
        <v>0</v>
      </c>
      <c r="F560" s="89">
        <f>CASE_COUNTS!D166</f>
        <v>0</v>
      </c>
      <c r="G560" s="89">
        <f>CASE_COUNTS!E166</f>
        <v>0</v>
      </c>
      <c r="H560" s="86">
        <f t="shared" si="302"/>
        <v>0</v>
      </c>
      <c r="I560" s="104" t="str">
        <f t="shared" si="301"/>
        <v xml:space="preserve"> </v>
      </c>
    </row>
    <row r="561" spans="3:9" x14ac:dyDescent="0.25">
      <c r="C561" s="83">
        <f ca="1">CASE_COUNTS!B167</f>
        <v>42765</v>
      </c>
      <c r="D561" s="89">
        <f>IF(INCUBATION!$E$27=CASE_COUNTS!$C$10,CASE_COUNTS!C167,IF(INCUBATION!$E$27=CASE_COUNTS!$D$10,CASE_COUNTS!D167,IF(INCUBATION!$E$27=CASE_COUNTS!$E$10,CASE_COUNTS!E167,CASE_COUNTS!C167)))</f>
        <v>0</v>
      </c>
      <c r="E561" s="89">
        <f>CASE_COUNTS!C167</f>
        <v>0</v>
      </c>
      <c r="F561" s="89">
        <f>CASE_COUNTS!D167</f>
        <v>0</v>
      </c>
      <c r="G561" s="89">
        <f>CASE_COUNTS!E167</f>
        <v>0</v>
      </c>
      <c r="H561" s="86">
        <f t="shared" si="302"/>
        <v>0</v>
      </c>
      <c r="I561" s="104" t="str">
        <f t="shared" si="301"/>
        <v xml:space="preserve"> </v>
      </c>
    </row>
    <row r="562" spans="3:9" x14ac:dyDescent="0.25">
      <c r="C562" s="83">
        <f ca="1">CASE_COUNTS!B168</f>
        <v>42766</v>
      </c>
      <c r="D562" s="89">
        <f>IF(INCUBATION!$E$27=CASE_COUNTS!$C$10,CASE_COUNTS!C168,IF(INCUBATION!$E$27=CASE_COUNTS!$D$10,CASE_COUNTS!D168,IF(INCUBATION!$E$27=CASE_COUNTS!$E$10,CASE_COUNTS!E168,CASE_COUNTS!C168)))</f>
        <v>0</v>
      </c>
      <c r="E562" s="89">
        <f>CASE_COUNTS!C168</f>
        <v>0</v>
      </c>
      <c r="F562" s="89">
        <f>CASE_COUNTS!D168</f>
        <v>0</v>
      </c>
      <c r="G562" s="89">
        <f>CASE_COUNTS!E168</f>
        <v>0</v>
      </c>
      <c r="H562" s="86">
        <f t="shared" si="302"/>
        <v>0</v>
      </c>
      <c r="I562" s="104" t="str">
        <f t="shared" si="301"/>
        <v xml:space="preserve"> </v>
      </c>
    </row>
    <row r="563" spans="3:9" x14ac:dyDescent="0.25">
      <c r="C563" s="83">
        <f ca="1">CASE_COUNTS!B169</f>
        <v>42767</v>
      </c>
      <c r="D563" s="89">
        <f>IF(INCUBATION!$E$27=CASE_COUNTS!$C$10,CASE_COUNTS!C169,IF(INCUBATION!$E$27=CASE_COUNTS!$D$10,CASE_COUNTS!D169,IF(INCUBATION!$E$27=CASE_COUNTS!$E$10,CASE_COUNTS!E169,CASE_COUNTS!C169)))</f>
        <v>0</v>
      </c>
      <c r="E563" s="89">
        <f>CASE_COUNTS!C169</f>
        <v>0</v>
      </c>
      <c r="F563" s="89">
        <f>CASE_COUNTS!D169</f>
        <v>0</v>
      </c>
      <c r="G563" s="89">
        <f>CASE_COUNTS!E169</f>
        <v>0</v>
      </c>
      <c r="H563" s="86">
        <f t="shared" si="302"/>
        <v>0</v>
      </c>
      <c r="I563" s="104" t="str">
        <f t="shared" si="301"/>
        <v xml:space="preserve"> </v>
      </c>
    </row>
    <row r="564" spans="3:9" x14ac:dyDescent="0.25">
      <c r="C564" s="83">
        <f ca="1">CASE_COUNTS!B170</f>
        <v>42768</v>
      </c>
      <c r="D564" s="89">
        <f>IF(INCUBATION!$E$27=CASE_COUNTS!$C$10,CASE_COUNTS!C170,IF(INCUBATION!$E$27=CASE_COUNTS!$D$10,CASE_COUNTS!D170,IF(INCUBATION!$E$27=CASE_COUNTS!$E$10,CASE_COUNTS!E170,CASE_COUNTS!C170)))</f>
        <v>0</v>
      </c>
      <c r="E564" s="89">
        <f>CASE_COUNTS!C170</f>
        <v>0</v>
      </c>
      <c r="F564" s="89">
        <f>CASE_COUNTS!D170</f>
        <v>0</v>
      </c>
      <c r="G564" s="89">
        <f>CASE_COUNTS!E170</f>
        <v>0</v>
      </c>
      <c r="H564" s="86">
        <f t="shared" si="302"/>
        <v>0</v>
      </c>
      <c r="I564" s="104" t="str">
        <f t="shared" si="301"/>
        <v xml:space="preserve"> </v>
      </c>
    </row>
    <row r="565" spans="3:9" x14ac:dyDescent="0.25">
      <c r="C565" s="83">
        <f ca="1">CASE_COUNTS!B171</f>
        <v>42769</v>
      </c>
      <c r="D565" s="89">
        <f>IF(INCUBATION!$E$27=CASE_COUNTS!$C$10,CASE_COUNTS!C171,IF(INCUBATION!$E$27=CASE_COUNTS!$D$10,CASE_COUNTS!D171,IF(INCUBATION!$E$27=CASE_COUNTS!$E$10,CASE_COUNTS!E171,CASE_COUNTS!C171)))</f>
        <v>0</v>
      </c>
      <c r="E565" s="89">
        <f>CASE_COUNTS!C171</f>
        <v>0</v>
      </c>
      <c r="F565" s="89">
        <f>CASE_COUNTS!D171</f>
        <v>0</v>
      </c>
      <c r="G565" s="89">
        <f>CASE_COUNTS!E171</f>
        <v>0</v>
      </c>
      <c r="H565" s="86">
        <f t="shared" si="302"/>
        <v>0</v>
      </c>
      <c r="I565" s="104" t="str">
        <f t="shared" ref="I565:I596" si="303">IF(H565=0," ",C565)</f>
        <v xml:space="preserve"> </v>
      </c>
    </row>
    <row r="566" spans="3:9" x14ac:dyDescent="0.25">
      <c r="C566" s="83">
        <f ca="1">CASE_COUNTS!B172</f>
        <v>42770</v>
      </c>
      <c r="D566" s="89">
        <f>IF(INCUBATION!$E$27=CASE_COUNTS!$C$10,CASE_COUNTS!C172,IF(INCUBATION!$E$27=CASE_COUNTS!$D$10,CASE_COUNTS!D172,IF(INCUBATION!$E$27=CASE_COUNTS!$E$10,CASE_COUNTS!E172,CASE_COUNTS!C172)))</f>
        <v>0</v>
      </c>
      <c r="E566" s="89">
        <f>CASE_COUNTS!C172</f>
        <v>0</v>
      </c>
      <c r="F566" s="89">
        <f>CASE_COUNTS!D172</f>
        <v>0</v>
      </c>
      <c r="G566" s="89">
        <f>CASE_COUNTS!E172</f>
        <v>0</v>
      </c>
      <c r="H566" s="86">
        <f t="shared" si="302"/>
        <v>0</v>
      </c>
      <c r="I566" s="104" t="str">
        <f t="shared" si="303"/>
        <v xml:space="preserve"> </v>
      </c>
    </row>
    <row r="567" spans="3:9" x14ac:dyDescent="0.25">
      <c r="C567" s="83">
        <f ca="1">CASE_COUNTS!B173</f>
        <v>42771</v>
      </c>
      <c r="D567" s="89">
        <f>IF(INCUBATION!$E$27=CASE_COUNTS!$C$10,CASE_COUNTS!C173,IF(INCUBATION!$E$27=CASE_COUNTS!$D$10,CASE_COUNTS!D173,IF(INCUBATION!$E$27=CASE_COUNTS!$E$10,CASE_COUNTS!E173,CASE_COUNTS!C173)))</f>
        <v>0</v>
      </c>
      <c r="E567" s="89">
        <f>CASE_COUNTS!C173</f>
        <v>0</v>
      </c>
      <c r="F567" s="89">
        <f>CASE_COUNTS!D173</f>
        <v>0</v>
      </c>
      <c r="G567" s="89">
        <f>CASE_COUNTS!E173</f>
        <v>0</v>
      </c>
      <c r="H567" s="86">
        <f t="shared" si="302"/>
        <v>0</v>
      </c>
      <c r="I567" s="104" t="str">
        <f t="shared" si="303"/>
        <v xml:space="preserve"> </v>
      </c>
    </row>
    <row r="568" spans="3:9" x14ac:dyDescent="0.25">
      <c r="C568" s="83">
        <f ca="1">CASE_COUNTS!B174</f>
        <v>42772</v>
      </c>
      <c r="D568" s="89">
        <f>IF(INCUBATION!$E$27=CASE_COUNTS!$C$10,CASE_COUNTS!C174,IF(INCUBATION!$E$27=CASE_COUNTS!$D$10,CASE_COUNTS!D174,IF(INCUBATION!$E$27=CASE_COUNTS!$E$10,CASE_COUNTS!E174,CASE_COUNTS!C174)))</f>
        <v>0</v>
      </c>
      <c r="E568" s="89">
        <f>CASE_COUNTS!C174</f>
        <v>0</v>
      </c>
      <c r="F568" s="89">
        <f>CASE_COUNTS!D174</f>
        <v>0</v>
      </c>
      <c r="G568" s="89">
        <f>CASE_COUNTS!E174</f>
        <v>0</v>
      </c>
      <c r="H568" s="86">
        <f t="shared" si="302"/>
        <v>0</v>
      </c>
      <c r="I568" s="104" t="str">
        <f t="shared" si="303"/>
        <v xml:space="preserve"> </v>
      </c>
    </row>
    <row r="569" spans="3:9" x14ac:dyDescent="0.25">
      <c r="C569" s="83">
        <f ca="1">CASE_COUNTS!B175</f>
        <v>42773</v>
      </c>
      <c r="D569" s="89">
        <f>IF(INCUBATION!$E$27=CASE_COUNTS!$C$10,CASE_COUNTS!C175,IF(INCUBATION!$E$27=CASE_COUNTS!$D$10,CASE_COUNTS!D175,IF(INCUBATION!$E$27=CASE_COUNTS!$E$10,CASE_COUNTS!E175,CASE_COUNTS!C175)))</f>
        <v>0</v>
      </c>
      <c r="E569" s="89">
        <f>CASE_COUNTS!C175</f>
        <v>0</v>
      </c>
      <c r="F569" s="89">
        <f>CASE_COUNTS!D175</f>
        <v>0</v>
      </c>
      <c r="G569" s="89">
        <f>CASE_COUNTS!E175</f>
        <v>0</v>
      </c>
      <c r="H569" s="86">
        <f t="shared" si="302"/>
        <v>0</v>
      </c>
      <c r="I569" s="104" t="str">
        <f t="shared" si="303"/>
        <v xml:space="preserve"> </v>
      </c>
    </row>
    <row r="570" spans="3:9" x14ac:dyDescent="0.25">
      <c r="C570" s="83">
        <f ca="1">CASE_COUNTS!B176</f>
        <v>42774</v>
      </c>
      <c r="D570" s="89">
        <f>IF(INCUBATION!$E$27=CASE_COUNTS!$C$10,CASE_COUNTS!C176,IF(INCUBATION!$E$27=CASE_COUNTS!$D$10,CASE_COUNTS!D176,IF(INCUBATION!$E$27=CASE_COUNTS!$E$10,CASE_COUNTS!E176,CASE_COUNTS!C176)))</f>
        <v>0</v>
      </c>
      <c r="E570" s="89">
        <f>CASE_COUNTS!C176</f>
        <v>0</v>
      </c>
      <c r="F570" s="89">
        <f>CASE_COUNTS!D176</f>
        <v>0</v>
      </c>
      <c r="G570" s="89">
        <f>CASE_COUNTS!E176</f>
        <v>0</v>
      </c>
      <c r="H570" s="86">
        <f t="shared" si="302"/>
        <v>0</v>
      </c>
      <c r="I570" s="104" t="str">
        <f t="shared" si="303"/>
        <v xml:space="preserve"> </v>
      </c>
    </row>
    <row r="571" spans="3:9" x14ac:dyDescent="0.25">
      <c r="C571" s="83">
        <f ca="1">CASE_COUNTS!B177</f>
        <v>42775</v>
      </c>
      <c r="D571" s="89">
        <f>IF(INCUBATION!$E$27=CASE_COUNTS!$C$10,CASE_COUNTS!C177,IF(INCUBATION!$E$27=CASE_COUNTS!$D$10,CASE_COUNTS!D177,IF(INCUBATION!$E$27=CASE_COUNTS!$E$10,CASE_COUNTS!E177,CASE_COUNTS!C177)))</f>
        <v>0</v>
      </c>
      <c r="E571" s="89">
        <f>CASE_COUNTS!C177</f>
        <v>0</v>
      </c>
      <c r="F571" s="89">
        <f>CASE_COUNTS!D177</f>
        <v>0</v>
      </c>
      <c r="G571" s="89">
        <f>CASE_COUNTS!E177</f>
        <v>0</v>
      </c>
      <c r="H571" s="86">
        <f t="shared" si="302"/>
        <v>0</v>
      </c>
      <c r="I571" s="104" t="str">
        <f t="shared" si="303"/>
        <v xml:space="preserve"> </v>
      </c>
    </row>
    <row r="572" spans="3:9" x14ac:dyDescent="0.25">
      <c r="C572" s="83">
        <f ca="1">CASE_COUNTS!B178</f>
        <v>42776</v>
      </c>
      <c r="D572" s="89">
        <f>IF(INCUBATION!$E$27=CASE_COUNTS!$C$10,CASE_COUNTS!C178,IF(INCUBATION!$E$27=CASE_COUNTS!$D$10,CASE_COUNTS!D178,IF(INCUBATION!$E$27=CASE_COUNTS!$E$10,CASE_COUNTS!E178,CASE_COUNTS!C178)))</f>
        <v>0</v>
      </c>
      <c r="E572" s="89">
        <f>CASE_COUNTS!C178</f>
        <v>0</v>
      </c>
      <c r="F572" s="89">
        <f>CASE_COUNTS!D178</f>
        <v>0</v>
      </c>
      <c r="G572" s="89">
        <f>CASE_COUNTS!E178</f>
        <v>0</v>
      </c>
      <c r="H572" s="86">
        <f t="shared" si="302"/>
        <v>0</v>
      </c>
      <c r="I572" s="104" t="str">
        <f t="shared" si="303"/>
        <v xml:space="preserve"> </v>
      </c>
    </row>
    <row r="573" spans="3:9" x14ac:dyDescent="0.25">
      <c r="C573" s="83">
        <f ca="1">CASE_COUNTS!B179</f>
        <v>42777</v>
      </c>
      <c r="D573" s="89">
        <f>IF(INCUBATION!$E$27=CASE_COUNTS!$C$10,CASE_COUNTS!C179,IF(INCUBATION!$E$27=CASE_COUNTS!$D$10,CASE_COUNTS!D179,IF(INCUBATION!$E$27=CASE_COUNTS!$E$10,CASE_COUNTS!E179,CASE_COUNTS!C179)))</f>
        <v>0</v>
      </c>
      <c r="E573" s="89">
        <f>CASE_COUNTS!C179</f>
        <v>0</v>
      </c>
      <c r="F573" s="89">
        <f>CASE_COUNTS!D179</f>
        <v>0</v>
      </c>
      <c r="G573" s="89">
        <f>CASE_COUNTS!E179</f>
        <v>0</v>
      </c>
      <c r="H573" s="86">
        <f t="shared" si="302"/>
        <v>0</v>
      </c>
      <c r="I573" s="104" t="str">
        <f t="shared" si="303"/>
        <v xml:space="preserve"> </v>
      </c>
    </row>
    <row r="574" spans="3:9" x14ac:dyDescent="0.25">
      <c r="C574" s="83">
        <f ca="1">CASE_COUNTS!B180</f>
        <v>42778</v>
      </c>
      <c r="D574" s="89">
        <f>IF(INCUBATION!$E$27=CASE_COUNTS!$C$10,CASE_COUNTS!C180,IF(INCUBATION!$E$27=CASE_COUNTS!$D$10,CASE_COUNTS!D180,IF(INCUBATION!$E$27=CASE_COUNTS!$E$10,CASE_COUNTS!E180,CASE_COUNTS!C180)))</f>
        <v>0</v>
      </c>
      <c r="E574" s="89">
        <f>CASE_COUNTS!C180</f>
        <v>0</v>
      </c>
      <c r="F574" s="89">
        <f>CASE_COUNTS!D180</f>
        <v>0</v>
      </c>
      <c r="G574" s="89">
        <f>CASE_COUNTS!E180</f>
        <v>0</v>
      </c>
      <c r="H574" s="86">
        <f t="shared" si="302"/>
        <v>0</v>
      </c>
      <c r="I574" s="104" t="str">
        <f t="shared" si="303"/>
        <v xml:space="preserve"> </v>
      </c>
    </row>
    <row r="575" spans="3:9" x14ac:dyDescent="0.25">
      <c r="C575" s="83">
        <f ca="1">CASE_COUNTS!B181</f>
        <v>42779</v>
      </c>
      <c r="D575" s="89">
        <f>IF(INCUBATION!$E$27=CASE_COUNTS!$C$10,CASE_COUNTS!C181,IF(INCUBATION!$E$27=CASE_COUNTS!$D$10,CASE_COUNTS!D181,IF(INCUBATION!$E$27=CASE_COUNTS!$E$10,CASE_COUNTS!E181,CASE_COUNTS!C181)))</f>
        <v>0</v>
      </c>
      <c r="E575" s="89">
        <f>CASE_COUNTS!C181</f>
        <v>0</v>
      </c>
      <c r="F575" s="89">
        <f>CASE_COUNTS!D181</f>
        <v>0</v>
      </c>
      <c r="G575" s="89">
        <f>CASE_COUNTS!E181</f>
        <v>0</v>
      </c>
      <c r="H575" s="86">
        <f t="shared" si="302"/>
        <v>0</v>
      </c>
      <c r="I575" s="104" t="str">
        <f t="shared" si="303"/>
        <v xml:space="preserve"> </v>
      </c>
    </row>
    <row r="576" spans="3:9" x14ac:dyDescent="0.25">
      <c r="C576" s="83">
        <f ca="1">CASE_COUNTS!B182</f>
        <v>42780</v>
      </c>
      <c r="D576" s="89">
        <f>IF(INCUBATION!$E$27=CASE_COUNTS!$C$10,CASE_COUNTS!C182,IF(INCUBATION!$E$27=CASE_COUNTS!$D$10,CASE_COUNTS!D182,IF(INCUBATION!$E$27=CASE_COUNTS!$E$10,CASE_COUNTS!E182,CASE_COUNTS!C182)))</f>
        <v>0</v>
      </c>
      <c r="E576" s="89">
        <f>CASE_COUNTS!C182</f>
        <v>0</v>
      </c>
      <c r="F576" s="89">
        <f>CASE_COUNTS!D182</f>
        <v>0</v>
      </c>
      <c r="G576" s="89">
        <f>CASE_COUNTS!E182</f>
        <v>0</v>
      </c>
      <c r="H576" s="86">
        <f t="shared" si="302"/>
        <v>0</v>
      </c>
      <c r="I576" s="104" t="str">
        <f t="shared" si="303"/>
        <v xml:space="preserve"> </v>
      </c>
    </row>
    <row r="577" spans="3:9" x14ac:dyDescent="0.25">
      <c r="C577" s="83">
        <f ca="1">CASE_COUNTS!B183</f>
        <v>42781</v>
      </c>
      <c r="D577" s="89">
        <f>IF(INCUBATION!$E$27=CASE_COUNTS!$C$10,CASE_COUNTS!C183,IF(INCUBATION!$E$27=CASE_COUNTS!$D$10,CASE_COUNTS!D183,IF(INCUBATION!$E$27=CASE_COUNTS!$E$10,CASE_COUNTS!E183,CASE_COUNTS!C183)))</f>
        <v>0</v>
      </c>
      <c r="E577" s="89">
        <f>CASE_COUNTS!C183</f>
        <v>0</v>
      </c>
      <c r="F577" s="89">
        <f>CASE_COUNTS!D183</f>
        <v>0</v>
      </c>
      <c r="G577" s="89">
        <f>CASE_COUNTS!E183</f>
        <v>0</v>
      </c>
      <c r="H577" s="86">
        <f t="shared" si="302"/>
        <v>0</v>
      </c>
      <c r="I577" s="104" t="str">
        <f t="shared" si="303"/>
        <v xml:space="preserve"> </v>
      </c>
    </row>
    <row r="578" spans="3:9" x14ac:dyDescent="0.25">
      <c r="C578" s="83">
        <f ca="1">CASE_COUNTS!B184</f>
        <v>42782</v>
      </c>
      <c r="D578" s="89">
        <f>IF(INCUBATION!$E$27=CASE_COUNTS!$C$10,CASE_COUNTS!C184,IF(INCUBATION!$E$27=CASE_COUNTS!$D$10,CASE_COUNTS!D184,IF(INCUBATION!$E$27=CASE_COUNTS!$E$10,CASE_COUNTS!E184,CASE_COUNTS!C184)))</f>
        <v>0</v>
      </c>
      <c r="E578" s="89">
        <f>CASE_COUNTS!C184</f>
        <v>0</v>
      </c>
      <c r="F578" s="89">
        <f>CASE_COUNTS!D184</f>
        <v>0</v>
      </c>
      <c r="G578" s="89">
        <f>CASE_COUNTS!E184</f>
        <v>0</v>
      </c>
      <c r="H578" s="86">
        <f t="shared" si="302"/>
        <v>0</v>
      </c>
      <c r="I578" s="104" t="str">
        <f t="shared" si="303"/>
        <v xml:space="preserve"> </v>
      </c>
    </row>
    <row r="579" spans="3:9" x14ac:dyDescent="0.25">
      <c r="C579" s="83">
        <f ca="1">CASE_COUNTS!B185</f>
        <v>42783</v>
      </c>
      <c r="D579" s="89">
        <f>IF(INCUBATION!$E$27=CASE_COUNTS!$C$10,CASE_COUNTS!C185,IF(INCUBATION!$E$27=CASE_COUNTS!$D$10,CASE_COUNTS!D185,IF(INCUBATION!$E$27=CASE_COUNTS!$E$10,CASE_COUNTS!E185,CASE_COUNTS!C185)))</f>
        <v>0</v>
      </c>
      <c r="E579" s="89">
        <f>CASE_COUNTS!C185</f>
        <v>0</v>
      </c>
      <c r="F579" s="89">
        <f>CASE_COUNTS!D185</f>
        <v>0</v>
      </c>
      <c r="G579" s="89">
        <f>CASE_COUNTS!E185</f>
        <v>0</v>
      </c>
      <c r="H579" s="86">
        <f t="shared" si="302"/>
        <v>0</v>
      </c>
      <c r="I579" s="104" t="str">
        <f t="shared" si="303"/>
        <v xml:space="preserve"> </v>
      </c>
    </row>
    <row r="580" spans="3:9" x14ac:dyDescent="0.25">
      <c r="C580" s="83">
        <f ca="1">CASE_COUNTS!B186</f>
        <v>42784</v>
      </c>
      <c r="D580" s="89">
        <f>IF(INCUBATION!$E$27=CASE_COUNTS!$C$10,CASE_COUNTS!C186,IF(INCUBATION!$E$27=CASE_COUNTS!$D$10,CASE_COUNTS!D186,IF(INCUBATION!$E$27=CASE_COUNTS!$E$10,CASE_COUNTS!E186,CASE_COUNTS!C186)))</f>
        <v>0</v>
      </c>
      <c r="E580" s="89">
        <f>CASE_COUNTS!C186</f>
        <v>0</v>
      </c>
      <c r="F580" s="89">
        <f>CASE_COUNTS!D186</f>
        <v>0</v>
      </c>
      <c r="G580" s="89">
        <f>CASE_COUNTS!E186</f>
        <v>0</v>
      </c>
      <c r="H580" s="86">
        <f t="shared" si="302"/>
        <v>0</v>
      </c>
      <c r="I580" s="104" t="str">
        <f t="shared" si="303"/>
        <v xml:space="preserve"> </v>
      </c>
    </row>
    <row r="581" spans="3:9" x14ac:dyDescent="0.25">
      <c r="C581" s="83">
        <f ca="1">CASE_COUNTS!B187</f>
        <v>42785</v>
      </c>
      <c r="D581" s="89">
        <f>IF(INCUBATION!$E$27=CASE_COUNTS!$C$10,CASE_COUNTS!C187,IF(INCUBATION!$E$27=CASE_COUNTS!$D$10,CASE_COUNTS!D187,IF(INCUBATION!$E$27=CASE_COUNTS!$E$10,CASE_COUNTS!E187,CASE_COUNTS!C187)))</f>
        <v>0</v>
      </c>
      <c r="E581" s="89">
        <f>CASE_COUNTS!C187</f>
        <v>0</v>
      </c>
      <c r="F581" s="89">
        <f>CASE_COUNTS!D187</f>
        <v>0</v>
      </c>
      <c r="G581" s="89">
        <f>CASE_COUNTS!E187</f>
        <v>0</v>
      </c>
      <c r="H581" s="86">
        <f t="shared" si="302"/>
        <v>0</v>
      </c>
      <c r="I581" s="104" t="str">
        <f t="shared" si="303"/>
        <v xml:space="preserve"> </v>
      </c>
    </row>
    <row r="582" spans="3:9" x14ac:dyDescent="0.25">
      <c r="C582" s="83">
        <f ca="1">CASE_COUNTS!B188</f>
        <v>42786</v>
      </c>
      <c r="D582" s="89">
        <f>IF(INCUBATION!$E$27=CASE_COUNTS!$C$10,CASE_COUNTS!C188,IF(INCUBATION!$E$27=CASE_COUNTS!$D$10,CASE_COUNTS!D188,IF(INCUBATION!$E$27=CASE_COUNTS!$E$10,CASE_COUNTS!E188,CASE_COUNTS!C188)))</f>
        <v>0</v>
      </c>
      <c r="E582" s="89">
        <f>CASE_COUNTS!C188</f>
        <v>0</v>
      </c>
      <c r="F582" s="89">
        <f>CASE_COUNTS!D188</f>
        <v>0</v>
      </c>
      <c r="G582" s="89">
        <f>CASE_COUNTS!E188</f>
        <v>0</v>
      </c>
      <c r="H582" s="86">
        <f t="shared" si="302"/>
        <v>0</v>
      </c>
      <c r="I582" s="104" t="str">
        <f t="shared" si="303"/>
        <v xml:space="preserve"> </v>
      </c>
    </row>
    <row r="583" spans="3:9" x14ac:dyDescent="0.25">
      <c r="C583" s="83">
        <f ca="1">CASE_COUNTS!B189</f>
        <v>42787</v>
      </c>
      <c r="D583" s="89">
        <f>IF(INCUBATION!$E$27=CASE_COUNTS!$C$10,CASE_COUNTS!C189,IF(INCUBATION!$E$27=CASE_COUNTS!$D$10,CASE_COUNTS!D189,IF(INCUBATION!$E$27=CASE_COUNTS!$E$10,CASE_COUNTS!E189,CASE_COUNTS!C189)))</f>
        <v>0</v>
      </c>
      <c r="E583" s="89">
        <f>CASE_COUNTS!C189</f>
        <v>0</v>
      </c>
      <c r="F583" s="89">
        <f>CASE_COUNTS!D189</f>
        <v>0</v>
      </c>
      <c r="G583" s="89">
        <f>CASE_COUNTS!E189</f>
        <v>0</v>
      </c>
      <c r="H583" s="86">
        <f t="shared" si="302"/>
        <v>0</v>
      </c>
      <c r="I583" s="104" t="str">
        <f t="shared" si="303"/>
        <v xml:space="preserve"> </v>
      </c>
    </row>
    <row r="584" spans="3:9" x14ac:dyDescent="0.25">
      <c r="C584" s="83">
        <f ca="1">CASE_COUNTS!B190</f>
        <v>42788</v>
      </c>
      <c r="D584" s="89">
        <f>IF(INCUBATION!$E$27=CASE_COUNTS!$C$10,CASE_COUNTS!C190,IF(INCUBATION!$E$27=CASE_COUNTS!$D$10,CASE_COUNTS!D190,IF(INCUBATION!$E$27=CASE_COUNTS!$E$10,CASE_COUNTS!E190,CASE_COUNTS!C190)))</f>
        <v>0</v>
      </c>
      <c r="E584" s="89">
        <f>CASE_COUNTS!C190</f>
        <v>0</v>
      </c>
      <c r="F584" s="89">
        <f>CASE_COUNTS!D190</f>
        <v>0</v>
      </c>
      <c r="G584" s="89">
        <f>CASE_COUNTS!E190</f>
        <v>0</v>
      </c>
      <c r="H584" s="86">
        <f t="shared" si="302"/>
        <v>0</v>
      </c>
      <c r="I584" s="104" t="str">
        <f t="shared" si="303"/>
        <v xml:space="preserve"> </v>
      </c>
    </row>
    <row r="585" spans="3:9" x14ac:dyDescent="0.25">
      <c r="C585" s="83">
        <f ca="1">CASE_COUNTS!B191</f>
        <v>42789</v>
      </c>
      <c r="D585" s="89">
        <f>IF(INCUBATION!$E$27=CASE_COUNTS!$C$10,CASE_COUNTS!C191,IF(INCUBATION!$E$27=CASE_COUNTS!$D$10,CASE_COUNTS!D191,IF(INCUBATION!$E$27=CASE_COUNTS!$E$10,CASE_COUNTS!E191,CASE_COUNTS!C191)))</f>
        <v>0</v>
      </c>
      <c r="E585" s="89">
        <f>CASE_COUNTS!C191</f>
        <v>0</v>
      </c>
      <c r="F585" s="89">
        <f>CASE_COUNTS!D191</f>
        <v>0</v>
      </c>
      <c r="G585" s="89">
        <f>CASE_COUNTS!E191</f>
        <v>0</v>
      </c>
      <c r="H585" s="86">
        <f t="shared" si="302"/>
        <v>0</v>
      </c>
      <c r="I585" s="104" t="str">
        <f t="shared" si="303"/>
        <v xml:space="preserve"> </v>
      </c>
    </row>
    <row r="586" spans="3:9" x14ac:dyDescent="0.25">
      <c r="C586" s="83">
        <f ca="1">CASE_COUNTS!B192</f>
        <v>42790</v>
      </c>
      <c r="D586" s="89">
        <f>IF(INCUBATION!$E$27=CASE_COUNTS!$C$10,CASE_COUNTS!C192,IF(INCUBATION!$E$27=CASE_COUNTS!$D$10,CASE_COUNTS!D192,IF(INCUBATION!$E$27=CASE_COUNTS!$E$10,CASE_COUNTS!E192,CASE_COUNTS!C192)))</f>
        <v>0</v>
      </c>
      <c r="E586" s="89">
        <f>CASE_COUNTS!C192</f>
        <v>0</v>
      </c>
      <c r="F586" s="89">
        <f>CASE_COUNTS!D192</f>
        <v>0</v>
      </c>
      <c r="G586" s="89">
        <f>CASE_COUNTS!E192</f>
        <v>0</v>
      </c>
      <c r="H586" s="86">
        <f t="shared" si="302"/>
        <v>0</v>
      </c>
      <c r="I586" s="104" t="str">
        <f t="shared" si="303"/>
        <v xml:space="preserve"> </v>
      </c>
    </row>
    <row r="587" spans="3:9" x14ac:dyDescent="0.25">
      <c r="C587" s="83">
        <f ca="1">CASE_COUNTS!B193</f>
        <v>42791</v>
      </c>
      <c r="D587" s="89">
        <f>IF(INCUBATION!$E$27=CASE_COUNTS!$C$10,CASE_COUNTS!C193,IF(INCUBATION!$E$27=CASE_COUNTS!$D$10,CASE_COUNTS!D193,IF(INCUBATION!$E$27=CASE_COUNTS!$E$10,CASE_COUNTS!E193,CASE_COUNTS!C193)))</f>
        <v>0</v>
      </c>
      <c r="E587" s="89">
        <f>CASE_COUNTS!C193</f>
        <v>0</v>
      </c>
      <c r="F587" s="89">
        <f>CASE_COUNTS!D193</f>
        <v>0</v>
      </c>
      <c r="G587" s="89">
        <f>CASE_COUNTS!E193</f>
        <v>0</v>
      </c>
      <c r="H587" s="86">
        <f t="shared" si="302"/>
        <v>0</v>
      </c>
      <c r="I587" s="104" t="str">
        <f t="shared" si="303"/>
        <v xml:space="preserve"> </v>
      </c>
    </row>
    <row r="588" spans="3:9" x14ac:dyDescent="0.25">
      <c r="C588" s="83">
        <f ca="1">CASE_COUNTS!B194</f>
        <v>42792</v>
      </c>
      <c r="D588" s="89">
        <f>IF(INCUBATION!$E$27=CASE_COUNTS!$C$10,CASE_COUNTS!C194,IF(INCUBATION!$E$27=CASE_COUNTS!$D$10,CASE_COUNTS!D194,IF(INCUBATION!$E$27=CASE_COUNTS!$E$10,CASE_COUNTS!E194,CASE_COUNTS!C194)))</f>
        <v>0</v>
      </c>
      <c r="E588" s="89">
        <f>CASE_COUNTS!C194</f>
        <v>0</v>
      </c>
      <c r="F588" s="89">
        <f>CASE_COUNTS!D194</f>
        <v>0</v>
      </c>
      <c r="G588" s="89">
        <f>CASE_COUNTS!E194</f>
        <v>0</v>
      </c>
      <c r="H588" s="86">
        <f t="shared" si="302"/>
        <v>0</v>
      </c>
      <c r="I588" s="104" t="str">
        <f t="shared" si="303"/>
        <v xml:space="preserve"> </v>
      </c>
    </row>
    <row r="589" spans="3:9" x14ac:dyDescent="0.25">
      <c r="C589" s="83">
        <f ca="1">CASE_COUNTS!B195</f>
        <v>42793</v>
      </c>
      <c r="D589" s="89">
        <f>IF(INCUBATION!$E$27=CASE_COUNTS!$C$10,CASE_COUNTS!C195,IF(INCUBATION!$E$27=CASE_COUNTS!$D$10,CASE_COUNTS!D195,IF(INCUBATION!$E$27=CASE_COUNTS!$E$10,CASE_COUNTS!E195,CASE_COUNTS!C195)))</f>
        <v>0</v>
      </c>
      <c r="E589" s="89">
        <f>CASE_COUNTS!C195</f>
        <v>0</v>
      </c>
      <c r="F589" s="89">
        <f>CASE_COUNTS!D195</f>
        <v>0</v>
      </c>
      <c r="G589" s="89">
        <f>CASE_COUNTS!E195</f>
        <v>0</v>
      </c>
      <c r="H589" s="86">
        <f t="shared" si="302"/>
        <v>0</v>
      </c>
      <c r="I589" s="104" t="str">
        <f t="shared" si="303"/>
        <v xml:space="preserve"> </v>
      </c>
    </row>
    <row r="590" spans="3:9" x14ac:dyDescent="0.25">
      <c r="C590" s="83">
        <f ca="1">CASE_COUNTS!B196</f>
        <v>42794</v>
      </c>
      <c r="D590" s="89">
        <f>IF(INCUBATION!$E$27=CASE_COUNTS!$C$10,CASE_COUNTS!C196,IF(INCUBATION!$E$27=CASE_COUNTS!$D$10,CASE_COUNTS!D196,IF(INCUBATION!$E$27=CASE_COUNTS!$E$10,CASE_COUNTS!E196,CASE_COUNTS!C196)))</f>
        <v>0</v>
      </c>
      <c r="E590" s="89">
        <f>CASE_COUNTS!C196</f>
        <v>0</v>
      </c>
      <c r="F590" s="89">
        <f>CASE_COUNTS!D196</f>
        <v>0</v>
      </c>
      <c r="G590" s="89">
        <f>CASE_COUNTS!E196</f>
        <v>0</v>
      </c>
      <c r="H590" s="86">
        <f t="shared" si="302"/>
        <v>0</v>
      </c>
      <c r="I590" s="104" t="str">
        <f t="shared" si="303"/>
        <v xml:space="preserve"> </v>
      </c>
    </row>
    <row r="591" spans="3:9" x14ac:dyDescent="0.25">
      <c r="C591" s="83">
        <f ca="1">CASE_COUNTS!B197</f>
        <v>42795</v>
      </c>
      <c r="D591" s="89">
        <f>IF(INCUBATION!$E$27=CASE_COUNTS!$C$10,CASE_COUNTS!C197,IF(INCUBATION!$E$27=CASE_COUNTS!$D$10,CASE_COUNTS!D197,IF(INCUBATION!$E$27=CASE_COUNTS!$E$10,CASE_COUNTS!E197,CASE_COUNTS!C197)))</f>
        <v>0</v>
      </c>
      <c r="E591" s="89">
        <f>CASE_COUNTS!C197</f>
        <v>0</v>
      </c>
      <c r="F591" s="89">
        <f>CASE_COUNTS!D197</f>
        <v>0</v>
      </c>
      <c r="G591" s="89">
        <f>CASE_COUNTS!E197</f>
        <v>0</v>
      </c>
      <c r="H591" s="86">
        <f t="shared" si="302"/>
        <v>0</v>
      </c>
      <c r="I591" s="104" t="str">
        <f t="shared" si="303"/>
        <v xml:space="preserve"> </v>
      </c>
    </row>
    <row r="592" spans="3:9" x14ac:dyDescent="0.25">
      <c r="C592" s="83">
        <f ca="1">CASE_COUNTS!B198</f>
        <v>42796</v>
      </c>
      <c r="D592" s="89">
        <f>IF(INCUBATION!$E$27=CASE_COUNTS!$C$10,CASE_COUNTS!C198,IF(INCUBATION!$E$27=CASE_COUNTS!$D$10,CASE_COUNTS!D198,IF(INCUBATION!$E$27=CASE_COUNTS!$E$10,CASE_COUNTS!E198,CASE_COUNTS!C198)))</f>
        <v>0</v>
      </c>
      <c r="E592" s="89">
        <f>CASE_COUNTS!C198</f>
        <v>0</v>
      </c>
      <c r="F592" s="89">
        <f>CASE_COUNTS!D198</f>
        <v>0</v>
      </c>
      <c r="G592" s="89">
        <f>CASE_COUNTS!E198</f>
        <v>0</v>
      </c>
      <c r="H592" s="86">
        <f t="shared" si="302"/>
        <v>0</v>
      </c>
      <c r="I592" s="104" t="str">
        <f t="shared" si="303"/>
        <v xml:space="preserve"> </v>
      </c>
    </row>
    <row r="593" spans="3:9" x14ac:dyDescent="0.25">
      <c r="C593" s="83">
        <f ca="1">CASE_COUNTS!B199</f>
        <v>42797</v>
      </c>
      <c r="D593" s="89">
        <f>IF(INCUBATION!$E$27=CASE_COUNTS!$C$10,CASE_COUNTS!C199,IF(INCUBATION!$E$27=CASE_COUNTS!$D$10,CASE_COUNTS!D199,IF(INCUBATION!$E$27=CASE_COUNTS!$E$10,CASE_COUNTS!E199,CASE_COUNTS!C199)))</f>
        <v>0</v>
      </c>
      <c r="E593" s="89">
        <f>CASE_COUNTS!C199</f>
        <v>0</v>
      </c>
      <c r="F593" s="89">
        <f>CASE_COUNTS!D199</f>
        <v>0</v>
      </c>
      <c r="G593" s="89">
        <f>CASE_COUNTS!E199</f>
        <v>0</v>
      </c>
      <c r="H593" s="86">
        <f t="shared" si="302"/>
        <v>0</v>
      </c>
      <c r="I593" s="104" t="str">
        <f t="shared" si="303"/>
        <v xml:space="preserve"> </v>
      </c>
    </row>
    <row r="594" spans="3:9" x14ac:dyDescent="0.25">
      <c r="C594" s="83">
        <f ca="1">CASE_COUNTS!B200</f>
        <v>42798</v>
      </c>
      <c r="D594" s="89">
        <f>IF(INCUBATION!$E$27=CASE_COUNTS!$C$10,CASE_COUNTS!C200,IF(INCUBATION!$E$27=CASE_COUNTS!$D$10,CASE_COUNTS!D200,IF(INCUBATION!$E$27=CASE_COUNTS!$E$10,CASE_COUNTS!E200,CASE_COUNTS!C200)))</f>
        <v>0</v>
      </c>
      <c r="E594" s="89">
        <f>CASE_COUNTS!C200</f>
        <v>0</v>
      </c>
      <c r="F594" s="89">
        <f>CASE_COUNTS!D200</f>
        <v>0</v>
      </c>
      <c r="G594" s="89">
        <f>CASE_COUNTS!E200</f>
        <v>0</v>
      </c>
      <c r="H594" s="86">
        <f t="shared" si="302"/>
        <v>0</v>
      </c>
      <c r="I594" s="104" t="str">
        <f t="shared" si="303"/>
        <v xml:space="preserve"> </v>
      </c>
    </row>
    <row r="595" spans="3:9" x14ac:dyDescent="0.25">
      <c r="C595" s="83">
        <f ca="1">CASE_COUNTS!B201</f>
        <v>42799</v>
      </c>
      <c r="D595" s="89">
        <f>IF(INCUBATION!$E$27=CASE_COUNTS!$C$10,CASE_COUNTS!C201,IF(INCUBATION!$E$27=CASE_COUNTS!$D$10,CASE_COUNTS!D201,IF(INCUBATION!$E$27=CASE_COUNTS!$E$10,CASE_COUNTS!E201,CASE_COUNTS!C201)))</f>
        <v>0</v>
      </c>
      <c r="E595" s="89">
        <f>CASE_COUNTS!C201</f>
        <v>0</v>
      </c>
      <c r="F595" s="89">
        <f>CASE_COUNTS!D201</f>
        <v>0</v>
      </c>
      <c r="G595" s="89">
        <f>CASE_COUNTS!E201</f>
        <v>0</v>
      </c>
      <c r="H595" s="86">
        <f t="shared" si="302"/>
        <v>0</v>
      </c>
      <c r="I595" s="104" t="str">
        <f t="shared" si="303"/>
        <v xml:space="preserve"> </v>
      </c>
    </row>
    <row r="596" spans="3:9" x14ac:dyDescent="0.25">
      <c r="C596" s="83">
        <f ca="1">CASE_COUNTS!B202</f>
        <v>42800</v>
      </c>
      <c r="D596" s="89">
        <f>IF(INCUBATION!$E$27=CASE_COUNTS!$C$10,CASE_COUNTS!C202,IF(INCUBATION!$E$27=CASE_COUNTS!$D$10,CASE_COUNTS!D202,IF(INCUBATION!$E$27=CASE_COUNTS!$E$10,CASE_COUNTS!E202,CASE_COUNTS!C202)))</f>
        <v>0</v>
      </c>
      <c r="E596" s="89">
        <f>CASE_COUNTS!C202</f>
        <v>0</v>
      </c>
      <c r="F596" s="89">
        <f>CASE_COUNTS!D202</f>
        <v>0</v>
      </c>
      <c r="G596" s="89">
        <f>CASE_COUNTS!E202</f>
        <v>0</v>
      </c>
      <c r="H596" s="86">
        <f t="shared" si="302"/>
        <v>0</v>
      </c>
      <c r="I596" s="104" t="str">
        <f t="shared" si="303"/>
        <v xml:space="preserve"> </v>
      </c>
    </row>
    <row r="597" spans="3:9" x14ac:dyDescent="0.25">
      <c r="C597" s="83">
        <f ca="1">CASE_COUNTS!B203</f>
        <v>42801</v>
      </c>
      <c r="D597" s="89">
        <f>IF(INCUBATION!$E$27=CASE_COUNTS!$C$10,CASE_COUNTS!C203,IF(INCUBATION!$E$27=CASE_COUNTS!$D$10,CASE_COUNTS!D203,IF(INCUBATION!$E$27=CASE_COUNTS!$E$10,CASE_COUNTS!E203,CASE_COUNTS!C203)))</f>
        <v>0</v>
      </c>
      <c r="E597" s="89">
        <f>CASE_COUNTS!C203</f>
        <v>0</v>
      </c>
      <c r="F597" s="89">
        <f>CASE_COUNTS!D203</f>
        <v>0</v>
      </c>
      <c r="G597" s="89">
        <f>CASE_COUNTS!E203</f>
        <v>0</v>
      </c>
      <c r="H597" s="86">
        <f t="shared" si="302"/>
        <v>0</v>
      </c>
      <c r="I597" s="104" t="str">
        <f>IF(H597=0," ",C597)</f>
        <v xml:space="preserve"> </v>
      </c>
    </row>
    <row r="598" spans="3:9" x14ac:dyDescent="0.25">
      <c r="C598" s="83">
        <f ca="1">CASE_COUNTS!B204</f>
        <v>42802</v>
      </c>
      <c r="D598" s="89">
        <f>IF(INCUBATION!$E$27=CASE_COUNTS!$C$10,CASE_COUNTS!C204,IF(INCUBATION!$E$27=CASE_COUNTS!$D$10,CASE_COUNTS!D204,IF(INCUBATION!$E$27=CASE_COUNTS!$E$10,CASE_COUNTS!E204,CASE_COUNTS!C204)))</f>
        <v>0</v>
      </c>
      <c r="E598" s="89">
        <f>CASE_COUNTS!C204</f>
        <v>0</v>
      </c>
      <c r="F598" s="89">
        <f>CASE_COUNTS!D204</f>
        <v>0</v>
      </c>
      <c r="G598" s="89">
        <f>CASE_COUNTS!E204</f>
        <v>0</v>
      </c>
      <c r="H598" s="86">
        <f>SUM(D598:G598)</f>
        <v>0</v>
      </c>
      <c r="I598" s="104" t="str">
        <f>IF(H598=0," ",C598)</f>
        <v xml:space="preserve"> </v>
      </c>
    </row>
    <row r="599" spans="3:9" x14ac:dyDescent="0.25">
      <c r="C599" s="83">
        <f ca="1">CASE_COUNTS!B205</f>
        <v>42803</v>
      </c>
      <c r="D599" s="89">
        <f>IF(INCUBATION!$E$27=CASE_COUNTS!$C$10,CASE_COUNTS!C205,IF(INCUBATION!$E$27=CASE_COUNTS!$D$10,CASE_COUNTS!D205,IF(INCUBATION!$E$27=CASE_COUNTS!$E$10,CASE_COUNTS!E205,CASE_COUNTS!C205)))</f>
        <v>0</v>
      </c>
      <c r="E599" s="89">
        <f>CASE_COUNTS!C205</f>
        <v>0</v>
      </c>
      <c r="F599" s="89">
        <f>CASE_COUNTS!D205</f>
        <v>0</v>
      </c>
      <c r="G599" s="89">
        <f>CASE_COUNTS!E205</f>
        <v>0</v>
      </c>
      <c r="H599" s="86">
        <f>SUM(D599:G599)</f>
        <v>0</v>
      </c>
      <c r="I599" s="104" t="str">
        <f>IF(H599=0," ",C599)</f>
        <v xml:space="preserve"> </v>
      </c>
    </row>
    <row r="600" spans="3:9" x14ac:dyDescent="0.25">
      <c r="C600" s="83">
        <f ca="1">CASE_COUNTS!B206</f>
        <v>42804</v>
      </c>
      <c r="D600" s="89">
        <f>IF(INCUBATION!$E$27=CASE_COUNTS!$C$10,CASE_COUNTS!C206,IF(INCUBATION!$E$27=CASE_COUNTS!$D$10,CASE_COUNTS!D206,IF(INCUBATION!$E$27=CASE_COUNTS!$E$10,CASE_COUNTS!E206,CASE_COUNTS!C206)))</f>
        <v>0</v>
      </c>
      <c r="E600" s="89">
        <f>CASE_COUNTS!C206</f>
        <v>0</v>
      </c>
      <c r="F600" s="89">
        <f>CASE_COUNTS!D206</f>
        <v>0</v>
      </c>
      <c r="G600" s="89">
        <f>CASE_COUNTS!E206</f>
        <v>0</v>
      </c>
      <c r="H600" s="86">
        <f>SUM(D600:G600)</f>
        <v>0</v>
      </c>
      <c r="I600" s="104" t="str">
        <f>IF(H600=0," ",C600)</f>
        <v xml:space="preserve"> </v>
      </c>
    </row>
    <row r="601" spans="3:9" ht="13.8" thickBot="1" x14ac:dyDescent="0.3">
      <c r="C601" s="83">
        <f ca="1">CASE_COUNTS!B207</f>
        <v>42805</v>
      </c>
      <c r="D601" s="90">
        <f>IF(INCUBATION!$E$27=CASE_COUNTS!$C$10,CASE_COUNTS!C207,IF(INCUBATION!$E$27=CASE_COUNTS!$D$10,CASE_COUNTS!D207,IF(INCUBATION!$E$27=CASE_COUNTS!$E$10,CASE_COUNTS!E207,CASE_COUNTS!C207)))</f>
        <v>0</v>
      </c>
      <c r="E601" s="90">
        <f>CASE_COUNTS!C207</f>
        <v>0</v>
      </c>
      <c r="F601" s="90">
        <f>CASE_COUNTS!D207</f>
        <v>0</v>
      </c>
      <c r="G601" s="90">
        <f>CASE_COUNTS!E207</f>
        <v>0</v>
      </c>
      <c r="H601" s="86">
        <f>SUM(D601:G601)</f>
        <v>0</v>
      </c>
      <c r="I601" s="104" t="str">
        <f>IF(H601=0," ",C601)</f>
        <v xml:space="preserve"> </v>
      </c>
    </row>
    <row r="602" spans="3:9" x14ac:dyDescent="0.25">
      <c r="C602" s="105"/>
      <c r="D602" s="78"/>
      <c r="E602" s="78"/>
      <c r="F602"/>
      <c r="G602" s="78"/>
      <c r="H602" s="77"/>
      <c r="I602" s="104"/>
    </row>
    <row r="603" spans="3:9" x14ac:dyDescent="0.25">
      <c r="C603" s="105"/>
      <c r="D603" s="78"/>
      <c r="E603" s="78"/>
      <c r="F603"/>
      <c r="G603" s="78"/>
      <c r="H603" s="77"/>
      <c r="I603" s="104"/>
    </row>
    <row r="604" spans="3:9" x14ac:dyDescent="0.25">
      <c r="C604" s="105"/>
      <c r="D604"/>
      <c r="E604"/>
      <c r="F604"/>
      <c r="G604" s="77"/>
      <c r="I604" s="104"/>
    </row>
  </sheetData>
  <mergeCells count="21">
    <mergeCell ref="K3:P5"/>
    <mergeCell ref="B9:B11"/>
    <mergeCell ref="C9:C11"/>
    <mergeCell ref="D9:D11"/>
    <mergeCell ref="B13:B14"/>
    <mergeCell ref="I15:I16"/>
    <mergeCell ref="B2:I6"/>
    <mergeCell ref="K11:P11"/>
    <mergeCell ref="C43:D43"/>
    <mergeCell ref="C403:C404"/>
    <mergeCell ref="H403:H404"/>
    <mergeCell ref="N44:N45"/>
    <mergeCell ref="E9:E11"/>
    <mergeCell ref="L32:O34"/>
    <mergeCell ref="F9:F11"/>
    <mergeCell ref="G9:H11"/>
    <mergeCell ref="C15:C16"/>
    <mergeCell ref="D15:D16"/>
    <mergeCell ref="E15:E16"/>
    <mergeCell ref="G15:G16"/>
    <mergeCell ref="H15:H16"/>
  </mergeCells>
  <dataValidations disablePrompts="1" xWindow="1221" yWindow="753" count="2">
    <dataValidation type="list" allowBlank="1" showInputMessage="1" showErrorMessage="1" sqref="M7:M9">
      <formula1>$M$13:$M$31</formula1>
    </dataValidation>
    <dataValidation allowBlank="1" showInputMessage="1" showErrorMessage="1" prompt="The model provides a projected count only for an event date without a case-count entry (i.e. blank cells). Entries of zero are considered as if the user is certain that there are no cases that become symptomatic on that day (i.e. detected count = 0)." sqref="G56:G116"/>
  </dataValidations>
  <hyperlinks>
    <hyperlink ref="E9:E11" location="INCUBATION!A1" display="Incubation Period Settings"/>
    <hyperlink ref="D9:D11" location="CASE_COUNTS!A1" display="Case Counts"/>
    <hyperlink ref="C9:C11" location="Timeline!A1" display="Timeline"/>
    <hyperlink ref="B9:B11" location="'TABLE OF CONTENTS'!A1" display="Table of Contents"/>
    <hyperlink ref="F9" location="PEP_Decisions!A1" display="Step 2 PEP Decisions"/>
    <hyperlink ref="G9" location="Healthcare_Model!A1" display="Healthcare_Model!A1"/>
  </hyperlink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9" tint="0.79998168889431442"/>
  </sheetPr>
  <dimension ref="B1:AG83"/>
  <sheetViews>
    <sheetView zoomScale="110" zoomScaleNormal="110" workbookViewId="0"/>
  </sheetViews>
  <sheetFormatPr defaultRowHeight="13.2" x14ac:dyDescent="0.25"/>
  <cols>
    <col min="1" max="1" width="1.6640625" customWidth="1"/>
    <col min="2" max="2" width="10.5546875" customWidth="1"/>
    <col min="3" max="3" width="19.44140625" customWidth="1"/>
    <col min="4" max="4" width="11.44140625" customWidth="1"/>
    <col min="5" max="5" width="19.109375" customWidth="1"/>
    <col min="6" max="6" width="10" customWidth="1"/>
    <col min="7" max="7" width="12.6640625" customWidth="1"/>
    <col min="8" max="8" width="10.44140625" customWidth="1"/>
    <col min="9" max="9" width="10.109375" style="227" bestFit="1" customWidth="1"/>
    <col min="10" max="10" width="12.109375" customWidth="1"/>
    <col min="11" max="11" width="14.109375" customWidth="1"/>
    <col min="12" max="12" width="13.5546875" customWidth="1"/>
    <col min="13" max="14" width="12.6640625" customWidth="1"/>
    <col min="15" max="15" width="10.33203125" customWidth="1"/>
    <col min="16" max="16" width="10" customWidth="1"/>
    <col min="17" max="18" width="10.44140625" customWidth="1"/>
    <col min="20" max="20" width="10.44140625" customWidth="1"/>
    <col min="23" max="23" width="16.33203125" bestFit="1" customWidth="1"/>
    <col min="26" max="26" width="17" bestFit="1" customWidth="1"/>
  </cols>
  <sheetData>
    <row r="1" spans="2:33" ht="13.8" thickBot="1" x14ac:dyDescent="0.3"/>
    <row r="2" spans="2:33" ht="15.6" x14ac:dyDescent="0.3">
      <c r="B2" s="1265" t="s">
        <v>532</v>
      </c>
      <c r="C2" s="1266"/>
      <c r="D2" s="1266"/>
      <c r="E2" s="1266"/>
      <c r="F2" s="1266"/>
      <c r="G2" s="1266"/>
      <c r="H2" s="1266"/>
      <c r="I2" s="1266"/>
      <c r="J2" s="1266"/>
      <c r="K2" s="1266"/>
      <c r="L2" s="1266"/>
      <c r="M2" s="1266"/>
      <c r="N2" s="1267"/>
    </row>
    <row r="3" spans="2:33" ht="15.75" customHeight="1" thickBot="1" x14ac:dyDescent="0.35">
      <c r="B3" s="1268" t="s">
        <v>533</v>
      </c>
      <c r="C3" s="1269"/>
      <c r="D3" s="1269"/>
      <c r="E3" s="1269"/>
      <c r="F3" s="1269"/>
      <c r="G3" s="1269"/>
      <c r="H3" s="1269"/>
      <c r="I3" s="1269"/>
      <c r="J3" s="1269"/>
      <c r="K3" s="1269"/>
      <c r="L3" s="1269"/>
      <c r="M3" s="1269"/>
      <c r="N3" s="1270"/>
    </row>
    <row r="4" spans="2:33" ht="13.8" thickBot="1" x14ac:dyDescent="0.3">
      <c r="X4" s="172"/>
      <c r="Y4" s="172"/>
      <c r="Z4" s="172"/>
      <c r="AA4" s="172"/>
      <c r="AB4" s="172"/>
      <c r="AC4" s="172"/>
      <c r="AD4" s="172"/>
      <c r="AE4" s="172"/>
      <c r="AF4" s="172"/>
      <c r="AG4" s="172"/>
    </row>
    <row r="5" spans="2:33" ht="13.8" thickBot="1" x14ac:dyDescent="0.3">
      <c r="B5" s="222"/>
      <c r="C5" s="195"/>
      <c r="D5" s="195"/>
      <c r="E5" s="195"/>
      <c r="F5" s="195"/>
      <c r="G5" s="195"/>
      <c r="H5" s="195"/>
      <c r="I5" s="239"/>
      <c r="J5" s="195"/>
      <c r="K5" s="195"/>
      <c r="L5" s="195"/>
      <c r="M5" s="195"/>
      <c r="N5" s="196"/>
      <c r="X5" s="172"/>
      <c r="Y5" s="244"/>
      <c r="Z5" s="172"/>
      <c r="AA5" s="172"/>
      <c r="AB5" s="172"/>
      <c r="AC5" s="172"/>
      <c r="AD5" s="172"/>
      <c r="AE5" s="172"/>
      <c r="AF5" s="172"/>
      <c r="AG5" s="172"/>
    </row>
    <row r="6" spans="2:33" ht="16.2" thickBot="1" x14ac:dyDescent="0.3">
      <c r="B6" s="198"/>
      <c r="C6" s="230" t="s">
        <v>552</v>
      </c>
      <c r="D6" s="257"/>
      <c r="E6" s="199"/>
      <c r="F6" s="229"/>
      <c r="G6" s="229"/>
      <c r="H6" s="75"/>
      <c r="I6" s="240"/>
      <c r="J6" s="1070" t="s">
        <v>121</v>
      </c>
      <c r="K6" s="1112" t="s">
        <v>158</v>
      </c>
      <c r="L6" s="1272" t="s">
        <v>510</v>
      </c>
      <c r="M6" s="1248" t="s">
        <v>511</v>
      </c>
      <c r="N6" s="225"/>
      <c r="W6" s="172"/>
      <c r="X6" s="172"/>
      <c r="Y6" s="244"/>
      <c r="Z6" s="172"/>
      <c r="AA6" s="172"/>
      <c r="AB6" s="172"/>
      <c r="AC6" s="172"/>
      <c r="AD6" s="172"/>
      <c r="AE6" s="172"/>
      <c r="AF6" s="172"/>
      <c r="AG6" s="172"/>
    </row>
    <row r="7" spans="2:33" ht="15.6" x14ac:dyDescent="0.25">
      <c r="B7" s="198"/>
      <c r="C7" s="205" t="s">
        <v>366</v>
      </c>
      <c r="D7" s="218" t="str">
        <f>PEP_Decisions!E23</f>
        <v>No</v>
      </c>
      <c r="E7" s="210"/>
      <c r="F7" s="211"/>
      <c r="G7" s="211" t="s">
        <v>167</v>
      </c>
      <c r="H7" s="200">
        <f>IF(D7="No",0,PEP_Decisions!I23+1)</f>
        <v>0</v>
      </c>
      <c r="I7" s="240"/>
      <c r="J7" s="1111"/>
      <c r="K7" s="1113"/>
      <c r="L7" s="1273"/>
      <c r="M7" s="1249"/>
      <c r="N7" s="225"/>
      <c r="W7" s="1271"/>
      <c r="X7" s="172"/>
      <c r="Y7" s="244"/>
      <c r="Z7" s="244"/>
      <c r="AA7" s="244"/>
      <c r="AB7" s="244"/>
      <c r="AC7" s="244"/>
      <c r="AD7" s="244"/>
      <c r="AE7" s="244"/>
      <c r="AF7" s="244"/>
      <c r="AG7" s="172"/>
    </row>
    <row r="8" spans="2:33" ht="16.5" customHeight="1" thickBot="1" x14ac:dyDescent="0.3">
      <c r="B8" s="198"/>
      <c r="C8" s="206" t="s">
        <v>367</v>
      </c>
      <c r="D8" s="219">
        <f>PEP_Decisions!E24</f>
        <v>2</v>
      </c>
      <c r="E8" s="212"/>
      <c r="F8" s="213"/>
      <c r="G8" s="213" t="s">
        <v>168</v>
      </c>
      <c r="H8" s="203">
        <f>PEP_Decisions!E15</f>
        <v>0</v>
      </c>
      <c r="I8" s="240"/>
      <c r="J8" s="1071"/>
      <c r="K8" s="1114"/>
      <c r="L8" s="1274"/>
      <c r="M8" s="1250"/>
      <c r="N8" s="225"/>
      <c r="W8" s="1271"/>
      <c r="X8" s="172"/>
      <c r="Y8" s="244"/>
      <c r="Z8" s="244"/>
      <c r="AA8" s="244"/>
      <c r="AB8" s="244"/>
      <c r="AC8" s="244"/>
      <c r="AD8" s="244"/>
      <c r="AE8" s="244"/>
      <c r="AF8" s="244"/>
      <c r="AG8" s="172"/>
    </row>
    <row r="9" spans="2:33" ht="15.6" x14ac:dyDescent="0.25">
      <c r="B9" s="198"/>
      <c r="C9" s="207" t="s">
        <v>174</v>
      </c>
      <c r="D9" s="220">
        <f>IF(D7="Yes",D8+H7-1,D8)</f>
        <v>2</v>
      </c>
      <c r="E9" s="214"/>
      <c r="F9" s="215"/>
      <c r="G9" s="215" t="s">
        <v>187</v>
      </c>
      <c r="H9" s="204">
        <f>PEP_Decisions!E6</f>
        <v>0</v>
      </c>
      <c r="I9" s="240"/>
      <c r="J9" s="75"/>
      <c r="K9" s="75"/>
      <c r="L9" s="75"/>
      <c r="M9" s="75"/>
      <c r="N9" s="225"/>
      <c r="W9" s="1271"/>
      <c r="X9" s="172"/>
      <c r="Y9" s="244"/>
      <c r="Z9" s="244"/>
      <c r="AA9" s="244"/>
      <c r="AB9" s="244"/>
      <c r="AC9" s="244"/>
      <c r="AD9" s="244"/>
      <c r="AE9" s="244"/>
      <c r="AF9" s="244"/>
      <c r="AG9" s="172"/>
    </row>
    <row r="10" spans="2:33" ht="16.2" thickBot="1" x14ac:dyDescent="0.3">
      <c r="B10" s="198"/>
      <c r="C10" s="208" t="s">
        <v>169</v>
      </c>
      <c r="D10" s="221">
        <f>PEP_Decisions!E40</f>
        <v>0</v>
      </c>
      <c r="E10" s="214"/>
      <c r="F10" s="215"/>
      <c r="G10" s="215" t="s">
        <v>180</v>
      </c>
      <c r="H10" s="226">
        <f>N80</f>
        <v>0</v>
      </c>
      <c r="I10" s="240"/>
      <c r="J10" s="199" t="s">
        <v>198</v>
      </c>
      <c r="K10" s="199"/>
      <c r="L10" s="75"/>
      <c r="M10" s="75"/>
      <c r="N10" s="225"/>
      <c r="W10" s="172"/>
      <c r="X10" s="172"/>
      <c r="Y10" s="558"/>
      <c r="Z10" s="558"/>
      <c r="AA10" s="558"/>
      <c r="AB10" s="558"/>
      <c r="AC10" s="558"/>
      <c r="AD10" s="558"/>
      <c r="AE10" s="558"/>
      <c r="AF10" s="558"/>
      <c r="AG10" s="172"/>
    </row>
    <row r="11" spans="2:33" ht="12.75" customHeight="1" x14ac:dyDescent="0.25">
      <c r="B11" s="198"/>
      <c r="C11" s="208" t="s">
        <v>172</v>
      </c>
      <c r="D11" s="221">
        <f>D10+D9</f>
        <v>2</v>
      </c>
      <c r="E11" s="214"/>
      <c r="F11" s="215"/>
      <c r="G11" s="215" t="s">
        <v>184</v>
      </c>
      <c r="H11" s="224">
        <f>((1-$D$13)/($B$78-$D$10))</f>
        <v>1.0169491525423728E-2</v>
      </c>
      <c r="I11" s="240"/>
      <c r="J11" s="818"/>
      <c r="K11" s="819" t="s">
        <v>177</v>
      </c>
      <c r="L11" s="820" t="e">
        <f ca="1">'Epi-Curve Model'!E50</f>
        <v>#N/A</v>
      </c>
      <c r="M11" s="75"/>
      <c r="N11" s="197"/>
      <c r="W11" s="306"/>
      <c r="X11" s="172"/>
      <c r="Y11" s="244"/>
      <c r="Z11" s="244"/>
      <c r="AA11" s="172"/>
      <c r="AB11" s="172"/>
      <c r="AC11" s="172"/>
      <c r="AD11" s="172"/>
      <c r="AE11" s="172"/>
      <c r="AF11" s="172"/>
      <c r="AG11" s="172"/>
    </row>
    <row r="12" spans="2:33" ht="14.25" customHeight="1" x14ac:dyDescent="0.25">
      <c r="B12" s="198"/>
      <c r="C12" s="208" t="s">
        <v>190</v>
      </c>
      <c r="D12" s="498">
        <f>PEP_Decisions!E29</f>
        <v>0.9</v>
      </c>
      <c r="E12" s="214"/>
      <c r="F12" s="215"/>
      <c r="G12" s="215" t="s">
        <v>173</v>
      </c>
      <c r="H12" s="201" t="e">
        <f>IF(H10/H9&gt;1,1,H10/H9)</f>
        <v>#DIV/0!</v>
      </c>
      <c r="I12" s="240"/>
      <c r="J12" s="821"/>
      <c r="K12" s="822" t="s">
        <v>178</v>
      </c>
      <c r="L12" s="823">
        <f>IF(NOT(O19=""),O80,NA())</f>
        <v>0</v>
      </c>
      <c r="M12" s="75"/>
      <c r="N12" s="197"/>
      <c r="W12" s="306"/>
      <c r="X12" s="172"/>
      <c r="Y12" s="244"/>
      <c r="Z12" s="244"/>
      <c r="AA12" s="172"/>
      <c r="AB12" s="172"/>
      <c r="AC12" s="172"/>
      <c r="AD12" s="172"/>
      <c r="AE12" s="172"/>
      <c r="AF12" s="172"/>
      <c r="AG12" s="172"/>
    </row>
    <row r="13" spans="2:33" x14ac:dyDescent="0.25">
      <c r="B13" s="198"/>
      <c r="C13" s="208" t="s">
        <v>189</v>
      </c>
      <c r="D13" s="498">
        <f>PEP_Decisions!E30</f>
        <v>0.4</v>
      </c>
      <c r="E13" s="214"/>
      <c r="F13" s="215"/>
      <c r="G13" s="215" t="s">
        <v>181</v>
      </c>
      <c r="H13" s="500">
        <f>IF($D$7="No",H8/D8,H8/H7)</f>
        <v>0</v>
      </c>
      <c r="I13" s="240"/>
      <c r="J13" s="821"/>
      <c r="K13" s="809" t="s">
        <v>170</v>
      </c>
      <c r="L13" s="824" t="e">
        <f ca="1">L11-L12</f>
        <v>#N/A</v>
      </c>
      <c r="M13" s="75"/>
      <c r="N13" s="197"/>
      <c r="O13" s="54"/>
      <c r="W13" s="172"/>
      <c r="X13" s="172"/>
      <c r="Y13" s="244"/>
      <c r="Z13" s="244"/>
      <c r="AA13" s="172"/>
      <c r="AB13" s="172"/>
      <c r="AC13" s="172"/>
      <c r="AD13" s="172"/>
      <c r="AE13" s="172"/>
      <c r="AF13" s="172"/>
      <c r="AG13" s="172"/>
    </row>
    <row r="14" spans="2:33" ht="13.8" thickBot="1" x14ac:dyDescent="0.3">
      <c r="B14" s="198"/>
      <c r="C14" s="209" t="s">
        <v>368</v>
      </c>
      <c r="D14" s="499">
        <f>PEP_Decisions!E28</f>
        <v>0.65</v>
      </c>
      <c r="E14" s="216"/>
      <c r="F14" s="217"/>
      <c r="G14" s="217"/>
      <c r="H14" s="202"/>
      <c r="I14" s="240"/>
      <c r="J14" s="825"/>
      <c r="K14" s="812" t="s">
        <v>558</v>
      </c>
      <c r="L14" s="813" t="e">
        <f ca="1">L13/(L11-'Epi-Curve Model'!J117)</f>
        <v>#N/A</v>
      </c>
      <c r="M14" s="75"/>
      <c r="N14" s="197"/>
      <c r="Y14" s="248"/>
      <c r="Z14" s="248"/>
      <c r="AA14" s="17"/>
      <c r="AB14" s="17"/>
      <c r="AC14" s="17"/>
    </row>
    <row r="15" spans="2:33" ht="13.8" thickBot="1" x14ac:dyDescent="0.3">
      <c r="B15" s="228"/>
      <c r="C15" s="229"/>
      <c r="D15" s="230"/>
      <c r="E15" s="231"/>
      <c r="F15" s="230"/>
      <c r="G15" s="230"/>
      <c r="H15" s="229"/>
      <c r="I15" s="241"/>
      <c r="J15" s="229"/>
      <c r="K15" s="229"/>
      <c r="L15" s="232"/>
      <c r="M15" s="229"/>
      <c r="N15" s="233"/>
      <c r="Y15" s="248"/>
      <c r="Z15" s="248"/>
      <c r="AA15" s="17"/>
      <c r="AB15" s="17"/>
      <c r="AC15" s="17"/>
    </row>
    <row r="16" spans="2:33" x14ac:dyDescent="0.25">
      <c r="C16" s="244"/>
      <c r="D16" s="245"/>
      <c r="E16" s="246"/>
      <c r="F16" s="245"/>
      <c r="G16" s="178"/>
      <c r="L16" s="79"/>
    </row>
    <row r="17" spans="2:25" ht="66" x14ac:dyDescent="0.25">
      <c r="D17" s="193" t="s">
        <v>199</v>
      </c>
      <c r="E17" s="194" t="s">
        <v>200</v>
      </c>
      <c r="F17" s="193" t="s">
        <v>201</v>
      </c>
      <c r="G17" s="193" t="s">
        <v>192</v>
      </c>
      <c r="H17" s="193" t="s">
        <v>191</v>
      </c>
      <c r="O17" s="183"/>
      <c r="P17" s="183"/>
      <c r="Q17" s="183"/>
    </row>
    <row r="18" spans="2:25" ht="65.25" customHeight="1" thickBot="1" x14ac:dyDescent="0.3">
      <c r="B18" s="177" t="s">
        <v>118</v>
      </c>
      <c r="C18" s="177" t="s">
        <v>137</v>
      </c>
      <c r="D18" s="179">
        <f>$D$10+1</f>
        <v>1</v>
      </c>
      <c r="E18" s="184" t="str">
        <f>IF(D7="No","N/A",D18+H7)</f>
        <v>N/A</v>
      </c>
      <c r="F18" s="184">
        <f>D18+D9</f>
        <v>3</v>
      </c>
      <c r="G18" s="179"/>
      <c r="H18" s="180">
        <v>0</v>
      </c>
      <c r="I18" s="242" t="str">
        <f>'Epi-Curve Model'!E56</f>
        <v>logN (PDF)</v>
      </c>
      <c r="J18" s="176" t="s">
        <v>185</v>
      </c>
      <c r="K18" s="176" t="str">
        <f>'Epi-Curve Model'!H56</f>
        <v xml:space="preserve">Detected Cases (to date)
</v>
      </c>
      <c r="L18" s="181" t="s">
        <v>179</v>
      </c>
      <c r="M18" s="234" t="s">
        <v>182</v>
      </c>
      <c r="N18" s="234" t="s">
        <v>183</v>
      </c>
      <c r="O18" s="181" t="s">
        <v>186</v>
      </c>
      <c r="P18" s="181" t="s">
        <v>171</v>
      </c>
      <c r="Q18" s="176" t="str">
        <f>'Epi-Curve Model'!I56</f>
        <v>Epi-Curv Cum, Detected &amp; Projected</v>
      </c>
      <c r="R18" s="181" t="s">
        <v>193</v>
      </c>
      <c r="S18" s="176" t="str">
        <f>'Epi-Curve Model'!J56</f>
        <v>Cum detected cases (n)</v>
      </c>
      <c r="T18" s="182" t="str">
        <f>'Epi-Curve Model'!K56</f>
        <v>projected total given detected cases to-date</v>
      </c>
    </row>
    <row r="19" spans="2:25" x14ac:dyDescent="0.25">
      <c r="B19" s="104">
        <f>'Epi-Curve Model'!B57</f>
        <v>0</v>
      </c>
      <c r="C19" s="94">
        <v>1</v>
      </c>
      <c r="D19" s="96" t="str">
        <f t="shared" ref="D19:D50" si="0">IF(B19=$D$18,1,"")</f>
        <v/>
      </c>
      <c r="E19" s="96">
        <f t="shared" ref="E19:E50" si="1">IF(B19=$E$18,1,0)</f>
        <v>0</v>
      </c>
      <c r="F19" s="96">
        <f t="shared" ref="F19:F50" si="2">IF(B19=$F$18,1,IF(F18=1,1,0))</f>
        <v>0</v>
      </c>
      <c r="G19" s="96">
        <f t="shared" ref="G19:G50" si="3">IF(D19=1,IF($H$7=0,$D$8,$H$7),0)</f>
        <v>0</v>
      </c>
      <c r="H19" s="96">
        <f>IF(G19&gt;0.5,IF($D$7="No",$D$8,IF(H18=$D$8,$D$8,IF(H18=$H$7,$H$7,H18+1))),IF($D$7="Yes",IF(H18=$H$7,$H$7,IF(H18=0,0,H18+1)),IF(H18=$D$8,$D$8,0)))</f>
        <v>0</v>
      </c>
      <c r="I19" s="243">
        <f>'Epi-Curve Model'!E57</f>
        <v>7.2583254482819248E-4</v>
      </c>
      <c r="J19" s="78" t="e">
        <f ca="1">'Epi-Curve Model'!G57</f>
        <v>#N/A</v>
      </c>
      <c r="K19" s="78" t="e">
        <f ca="1">'Epi-Curve Model'!F57</f>
        <v>#N/A</v>
      </c>
      <c r="L19" s="227" t="str">
        <f>IF(H19=0,"",($D$12*(1-($H$11*(B19-$D$10)))))</f>
        <v/>
      </c>
      <c r="M19" s="235">
        <f t="shared" ref="M19:M50" si="4">IF(F19=1,0,H19*$H$13)</f>
        <v>0</v>
      </c>
      <c r="N19" s="235">
        <f>M19</f>
        <v>0</v>
      </c>
      <c r="O19" s="78" t="str">
        <f>IF(OR(PEP_Decisions!$E$40="",PEP_Decisions!$E$6="",PEP_Decisions!$E$15="",PEP_Decisions!$E$24="",PEP_Decisions!$E$38="No",PEP_Decisions!$E$38="",)," ",IF(K19&gt;0,K19,IF(H19&gt;0,IF(J19*(1-($D$14*L19*N19/$H$9))&lt;0,0,(J19*(1-($D$14*L19*N19/$H$9)))),J19)))</f>
        <v xml:space="preserve"> </v>
      </c>
      <c r="P19" s="78" t="e">
        <f t="shared" ref="P19:P50" ca="1" si="5">IF(O19&lt;0.5,-J19,O19-J19)</f>
        <v>#VALUE!</v>
      </c>
      <c r="Q19" s="78" t="e">
        <f ca="1">'Epi-Curve Model'!I57</f>
        <v>#N/A</v>
      </c>
      <c r="R19" s="247" t="str">
        <f>O19</f>
        <v xml:space="preserve"> </v>
      </c>
      <c r="S19" s="247" t="e">
        <f ca="1">'Epi-Curve Model'!J57</f>
        <v>#N/A</v>
      </c>
      <c r="T19" s="78" t="e">
        <f ca="1">'Epi-Curve Model'!K57</f>
        <v>#N/A</v>
      </c>
      <c r="V19" s="222"/>
      <c r="W19" s="632" t="s">
        <v>545</v>
      </c>
      <c r="X19" s="632" t="s">
        <v>546</v>
      </c>
      <c r="Y19" s="196"/>
    </row>
    <row r="20" spans="2:25" x14ac:dyDescent="0.25">
      <c r="B20" s="104">
        <f>B19+1</f>
        <v>1</v>
      </c>
      <c r="C20" s="94">
        <v>2</v>
      </c>
      <c r="D20" s="96">
        <f t="shared" si="0"/>
        <v>1</v>
      </c>
      <c r="E20" s="96">
        <f t="shared" si="1"/>
        <v>0</v>
      </c>
      <c r="F20" s="96">
        <f t="shared" si="2"/>
        <v>0</v>
      </c>
      <c r="G20" s="96">
        <f t="shared" si="3"/>
        <v>2</v>
      </c>
      <c r="H20" s="96">
        <f t="shared" ref="H20:H78" si="6">IF(G20&gt;0.5,IF($D$7="No",$D$8,IF(H19=$D$8,$D$8,IF(H19=$H$7,$H$7,H19+1))),IF($D$7="Yes",IF(H19=$H$7,$H$7,IF(H19=0,0,H19+1)),IF(H19=$D$8,$D$8,0)))</f>
        <v>2</v>
      </c>
      <c r="I20" s="243">
        <f>'Epi-Curve Model'!E58</f>
        <v>2.0090082394347803E-2</v>
      </c>
      <c r="J20" s="78" t="e">
        <f ca="1">'Epi-Curve Model'!G58</f>
        <v>#N/A</v>
      </c>
      <c r="K20" s="78" t="e">
        <f ca="1">'Epi-Curve Model'!F58</f>
        <v>#N/A</v>
      </c>
      <c r="L20" s="227">
        <f t="shared" ref="L20:L50" si="7">IF(H20=0,"",($D$12*(1-($H$11*(B20-$D$10)))))</f>
        <v>0.8908474576271187</v>
      </c>
      <c r="M20" s="235">
        <f t="shared" si="4"/>
        <v>0</v>
      </c>
      <c r="N20" s="235">
        <f t="shared" ref="N20:N51" si="8">IF(N19+M20&gt;$H$9,$H$9,N19+M20)</f>
        <v>0</v>
      </c>
      <c r="O20" s="78" t="str">
        <f>IF(OR(PEP_Decisions!$E$40="",PEP_Decisions!$E$6="",PEP_Decisions!$E$15="",PEP_Decisions!$E$24="",PEP_Decisions!$E$38="No",PEP_Decisions!$E$38="",)," ",IF(K20&gt;0,K20,IF(H20&gt;0,IF(J20*(1-($D$14*L20*N20/$H$9))&lt;0,0,(J20*(1-($D$14*L20*N20/$H$9)))),J20)))</f>
        <v xml:space="preserve"> </v>
      </c>
      <c r="P20" s="78" t="e">
        <f t="shared" ca="1" si="5"/>
        <v>#VALUE!</v>
      </c>
      <c r="Q20" s="78" t="e">
        <f ca="1">'Epi-Curve Model'!I58</f>
        <v>#N/A</v>
      </c>
      <c r="R20" s="247" t="e">
        <f t="shared" ref="R20:R51" si="9">R19+O20</f>
        <v>#VALUE!</v>
      </c>
      <c r="S20" s="247" t="e">
        <f ca="1">'Epi-Curve Model'!J58</f>
        <v>#N/A</v>
      </c>
      <c r="T20" s="78" t="e">
        <f ca="1">'Epi-Curve Model'!K58</f>
        <v>#N/A</v>
      </c>
      <c r="V20" s="198" t="s">
        <v>194</v>
      </c>
      <c r="W20" s="387" t="e">
        <f ca="1">L11</f>
        <v>#N/A</v>
      </c>
      <c r="X20" s="387">
        <f>IF(C3="",L12,"")</f>
        <v>0</v>
      </c>
      <c r="Y20" s="197"/>
    </row>
    <row r="21" spans="2:25" ht="13.8" thickBot="1" x14ac:dyDescent="0.3">
      <c r="B21" s="104">
        <f t="shared" ref="B21:B78" si="10">B20+1</f>
        <v>2</v>
      </c>
      <c r="C21" s="94">
        <v>3</v>
      </c>
      <c r="D21" s="96" t="str">
        <f t="shared" si="0"/>
        <v/>
      </c>
      <c r="E21" s="96">
        <f t="shared" si="1"/>
        <v>0</v>
      </c>
      <c r="F21" s="96">
        <f t="shared" si="2"/>
        <v>0</v>
      </c>
      <c r="G21" s="96">
        <f t="shared" si="3"/>
        <v>0</v>
      </c>
      <c r="H21" s="96">
        <f t="shared" si="6"/>
        <v>2</v>
      </c>
      <c r="I21" s="243">
        <f>'Epi-Curve Model'!E59</f>
        <v>6.511702015300011E-2</v>
      </c>
      <c r="J21" s="78" t="e">
        <f ca="1">'Epi-Curve Model'!G59</f>
        <v>#N/A</v>
      </c>
      <c r="K21" s="78" t="e">
        <f ca="1">'Epi-Curve Model'!F59</f>
        <v>#N/A</v>
      </c>
      <c r="L21" s="227">
        <f t="shared" si="7"/>
        <v>0.88169491525423727</v>
      </c>
      <c r="M21" s="235">
        <f t="shared" si="4"/>
        <v>0</v>
      </c>
      <c r="N21" s="235">
        <f t="shared" si="8"/>
        <v>0</v>
      </c>
      <c r="O21" s="78" t="str">
        <f>IF(OR(PEP_Decisions!$E$40="",PEP_Decisions!$E$6="",PEP_Decisions!$E$15="",PEP_Decisions!$E$24="",PEP_Decisions!$E$38="No",PEP_Decisions!$E$38="",)," ",IF(K21&gt;0,K21,IF(H21&gt;0,IF(J21*(1-($D$14*L21*N21/$H$9))&lt;0,0,(J21*(1-($D$14*L21*N21/$H$9)))),J21)))</f>
        <v xml:space="preserve"> </v>
      </c>
      <c r="P21" s="78" t="e">
        <f t="shared" ca="1" si="5"/>
        <v>#VALUE!</v>
      </c>
      <c r="Q21" s="78" t="e">
        <f ca="1">'Epi-Curve Model'!I59</f>
        <v>#N/A</v>
      </c>
      <c r="R21" s="247" t="e">
        <f t="shared" si="9"/>
        <v>#VALUE!</v>
      </c>
      <c r="S21" s="247" t="e">
        <f ca="1">'Epi-Curve Model'!J59</f>
        <v>#N/A</v>
      </c>
      <c r="T21" s="78" t="e">
        <f ca="1">'Epi-Curve Model'!K59</f>
        <v>#N/A</v>
      </c>
      <c r="V21" s="228" t="s">
        <v>195</v>
      </c>
      <c r="W21" s="633" t="e">
        <f ca="1">Healthcare_Model!H12</f>
        <v>#N/A</v>
      </c>
      <c r="X21" s="633">
        <f>Healthcare_Model!H13</f>
        <v>0</v>
      </c>
      <c r="Y21" s="233"/>
    </row>
    <row r="22" spans="2:25" x14ac:dyDescent="0.25">
      <c r="B22" s="104">
        <f t="shared" si="10"/>
        <v>3</v>
      </c>
      <c r="C22" s="94">
        <v>4</v>
      </c>
      <c r="D22" s="96" t="str">
        <f t="shared" si="0"/>
        <v/>
      </c>
      <c r="E22" s="96">
        <f t="shared" si="1"/>
        <v>0</v>
      </c>
      <c r="F22" s="96">
        <f t="shared" si="2"/>
        <v>1</v>
      </c>
      <c r="G22" s="96">
        <f t="shared" si="3"/>
        <v>0</v>
      </c>
      <c r="H22" s="96">
        <f t="shared" si="6"/>
        <v>2</v>
      </c>
      <c r="I22" s="243">
        <f>'Epi-Curve Model'!E60</f>
        <v>0.10074977416995455</v>
      </c>
      <c r="J22" s="78" t="e">
        <f ca="1">'Epi-Curve Model'!G60</f>
        <v>#N/A</v>
      </c>
      <c r="K22" s="78" t="e">
        <f ca="1">'Epi-Curve Model'!F60</f>
        <v>#N/A</v>
      </c>
      <c r="L22" s="227">
        <f t="shared" si="7"/>
        <v>0.87254237288135594</v>
      </c>
      <c r="M22" s="235">
        <f t="shared" si="4"/>
        <v>0</v>
      </c>
      <c r="N22" s="235">
        <f t="shared" si="8"/>
        <v>0</v>
      </c>
      <c r="O22" s="78" t="str">
        <f>IF(OR(PEP_Decisions!$E$40="",PEP_Decisions!$E$6="",PEP_Decisions!$E$15="",PEP_Decisions!$E$24="",PEP_Decisions!$E$38="No",PEP_Decisions!$E$38="",)," ",IF(K22&gt;0,K22,IF(H22&gt;0,IF(J22*(1-($D$14*L22*N22/$H$9))&lt;0,0,(J22*(1-($D$14*L22*N22/$H$9)))),J22)))</f>
        <v xml:space="preserve"> </v>
      </c>
      <c r="P22" s="78" t="e">
        <f t="shared" ca="1" si="5"/>
        <v>#VALUE!</v>
      </c>
      <c r="Q22" s="78" t="e">
        <f ca="1">'Epi-Curve Model'!I60</f>
        <v>#N/A</v>
      </c>
      <c r="R22" s="247" t="e">
        <f t="shared" si="9"/>
        <v>#VALUE!</v>
      </c>
      <c r="S22" s="247" t="e">
        <f ca="1">'Epi-Curve Model'!J60</f>
        <v>#N/A</v>
      </c>
      <c r="T22" s="78" t="e">
        <f ca="1">'Epi-Curve Model'!K60</f>
        <v>#N/A</v>
      </c>
      <c r="W22" s="634"/>
      <c r="X22" s="54"/>
    </row>
    <row r="23" spans="2:25" x14ac:dyDescent="0.25">
      <c r="B23" s="104">
        <f t="shared" si="10"/>
        <v>4</v>
      </c>
      <c r="C23" s="94">
        <v>5</v>
      </c>
      <c r="D23" s="96" t="str">
        <f t="shared" si="0"/>
        <v/>
      </c>
      <c r="E23" s="96">
        <f t="shared" si="1"/>
        <v>0</v>
      </c>
      <c r="F23" s="96">
        <f t="shared" si="2"/>
        <v>1</v>
      </c>
      <c r="G23" s="96">
        <f t="shared" si="3"/>
        <v>0</v>
      </c>
      <c r="H23" s="96">
        <f t="shared" si="6"/>
        <v>2</v>
      </c>
      <c r="I23" s="243">
        <f>'Epi-Curve Model'!E61</f>
        <v>0.11452250913387912</v>
      </c>
      <c r="J23" s="78" t="e">
        <f ca="1">'Epi-Curve Model'!G61</f>
        <v>#N/A</v>
      </c>
      <c r="K23" s="78" t="e">
        <f ca="1">'Epi-Curve Model'!F61</f>
        <v>#N/A</v>
      </c>
      <c r="L23" s="227">
        <f t="shared" si="7"/>
        <v>0.86338983050847462</v>
      </c>
      <c r="M23" s="235">
        <f t="shared" si="4"/>
        <v>0</v>
      </c>
      <c r="N23" s="235">
        <f t="shared" si="8"/>
        <v>0</v>
      </c>
      <c r="O23" s="78" t="str">
        <f>IF(OR(PEP_Decisions!$E$40="",PEP_Decisions!$E$6="",PEP_Decisions!$E$15="",PEP_Decisions!$E$24="",PEP_Decisions!$E$38="No",PEP_Decisions!$E$38="",)," ",IF(K23&gt;0,K23,IF(H23&gt;0,IF(J23*(1-($D$14*L23*N23/$H$9))&lt;0,0,(J23*(1-($D$14*L23*N23/$H$9)))),J23)))</f>
        <v xml:space="preserve"> </v>
      </c>
      <c r="P23" s="78" t="e">
        <f t="shared" ca="1" si="5"/>
        <v>#VALUE!</v>
      </c>
      <c r="Q23" s="78" t="e">
        <f ca="1">'Epi-Curve Model'!I61</f>
        <v>#N/A</v>
      </c>
      <c r="R23" s="247" t="e">
        <f t="shared" si="9"/>
        <v>#VALUE!</v>
      </c>
      <c r="S23" s="247" t="e">
        <f ca="1">'Epi-Curve Model'!J61</f>
        <v>#N/A</v>
      </c>
      <c r="T23" s="78" t="e">
        <f ca="1">'Epi-Curve Model'!K61</f>
        <v>#N/A</v>
      </c>
      <c r="W23" s="634"/>
    </row>
    <row r="24" spans="2:25" x14ac:dyDescent="0.25">
      <c r="B24" s="104">
        <f t="shared" si="10"/>
        <v>5</v>
      </c>
      <c r="C24" s="94">
        <v>6</v>
      </c>
      <c r="D24" s="96" t="str">
        <f t="shared" si="0"/>
        <v/>
      </c>
      <c r="E24" s="96">
        <f t="shared" si="1"/>
        <v>0</v>
      </c>
      <c r="F24" s="96">
        <f t="shared" si="2"/>
        <v>1</v>
      </c>
      <c r="G24" s="96">
        <f t="shared" si="3"/>
        <v>0</v>
      </c>
      <c r="H24" s="96">
        <f t="shared" si="6"/>
        <v>2</v>
      </c>
      <c r="I24" s="243">
        <f>'Epi-Curve Model'!E62</f>
        <v>0.1120270069243427</v>
      </c>
      <c r="J24" s="78" t="e">
        <f ca="1">'Epi-Curve Model'!G62</f>
        <v>#N/A</v>
      </c>
      <c r="K24" s="78" t="e">
        <f ca="1">'Epi-Curve Model'!F62</f>
        <v>#N/A</v>
      </c>
      <c r="L24" s="227">
        <f t="shared" si="7"/>
        <v>0.8542372881355933</v>
      </c>
      <c r="M24" s="235">
        <f t="shared" si="4"/>
        <v>0</v>
      </c>
      <c r="N24" s="235">
        <f t="shared" si="8"/>
        <v>0</v>
      </c>
      <c r="O24" s="78" t="str">
        <f>IF(OR(PEP_Decisions!$E$40="",PEP_Decisions!$E$6="",PEP_Decisions!$E$15="",PEP_Decisions!$E$24="",PEP_Decisions!$E$38="No",PEP_Decisions!$E$38="",)," ",IF(K24&gt;0,K24,IF(H24&gt;0,IF(J24*(1-($D$14*L24*N24/$H$9))&lt;0,0,(J24*(1-($D$14*L24*N24/$H$9)))),J24)))</f>
        <v xml:space="preserve"> </v>
      </c>
      <c r="P24" s="78" t="e">
        <f t="shared" ca="1" si="5"/>
        <v>#VALUE!</v>
      </c>
      <c r="Q24" s="78" t="e">
        <f ca="1">'Epi-Curve Model'!I62</f>
        <v>#N/A</v>
      </c>
      <c r="R24" s="247" t="e">
        <f t="shared" si="9"/>
        <v>#VALUE!</v>
      </c>
      <c r="S24" s="247" t="e">
        <f ca="1">'Epi-Curve Model'!J62</f>
        <v>#N/A</v>
      </c>
      <c r="T24" s="78" t="e">
        <f ca="1">'Epi-Curve Model'!K62</f>
        <v>#N/A</v>
      </c>
      <c r="W24" s="634"/>
    </row>
    <row r="25" spans="2:25" x14ac:dyDescent="0.25">
      <c r="B25" s="104">
        <f t="shared" si="10"/>
        <v>6</v>
      </c>
      <c r="C25" s="94">
        <v>7</v>
      </c>
      <c r="D25" s="96" t="str">
        <f t="shared" si="0"/>
        <v/>
      </c>
      <c r="E25" s="96">
        <f t="shared" si="1"/>
        <v>0</v>
      </c>
      <c r="F25" s="96">
        <f t="shared" si="2"/>
        <v>1</v>
      </c>
      <c r="G25" s="96">
        <f t="shared" si="3"/>
        <v>0</v>
      </c>
      <c r="H25" s="96">
        <f>IF(G25&gt;0.5,IF($D$7="No",$D$8,IF(H24=$D$8,$D$8,IF(H24=$H$7,$H$7,H24+1))),IF($D$7="Yes",IF(H24=$H$7,$H$7,IF(H24=0,0,H24+1)),IF(H24=$D$8,$D$8,0)))</f>
        <v>2</v>
      </c>
      <c r="I25" s="243">
        <f>'Epi-Curve Model'!E63</f>
        <v>0.10106466111580764</v>
      </c>
      <c r="J25" s="78" t="e">
        <f ca="1">'Epi-Curve Model'!G63</f>
        <v>#N/A</v>
      </c>
      <c r="K25" s="78" t="e">
        <f ca="1">'Epi-Curve Model'!F63</f>
        <v>#N/A</v>
      </c>
      <c r="L25" s="227">
        <f t="shared" si="7"/>
        <v>0.84508474576271186</v>
      </c>
      <c r="M25" s="235">
        <f>IF(F25=1,0,H25*$H$13)</f>
        <v>0</v>
      </c>
      <c r="N25" s="235">
        <f t="shared" si="8"/>
        <v>0</v>
      </c>
      <c r="O25" s="78" t="str">
        <f>IF(OR(PEP_Decisions!$E$40="",PEP_Decisions!$E$6="",PEP_Decisions!$E$15="",PEP_Decisions!$E$24="",PEP_Decisions!$E$38="No",PEP_Decisions!$E$38="",)," ",IF(K25&gt;0,K25,IF(H25&gt;0,IF(J25*(1-($D$14*L25*N25/$H$9))&lt;0,0,(J25*(1-($D$14*L25*N25/$H$9)))),J25)))</f>
        <v xml:space="preserve"> </v>
      </c>
      <c r="P25" s="78" t="e">
        <f t="shared" ca="1" si="5"/>
        <v>#VALUE!</v>
      </c>
      <c r="Q25" s="78" t="e">
        <f ca="1">'Epi-Curve Model'!I63</f>
        <v>#N/A</v>
      </c>
      <c r="R25" s="247" t="e">
        <f t="shared" si="9"/>
        <v>#VALUE!</v>
      </c>
      <c r="S25" s="247" t="e">
        <f ca="1">'Epi-Curve Model'!J63</f>
        <v>#N/A</v>
      </c>
      <c r="T25" s="78" t="e">
        <f ca="1">'Epi-Curve Model'!K63</f>
        <v>#N/A</v>
      </c>
      <c r="U25" s="238"/>
      <c r="W25" s="634"/>
    </row>
    <row r="26" spans="2:25" x14ac:dyDescent="0.25">
      <c r="B26" s="104">
        <f t="shared" si="10"/>
        <v>7</v>
      </c>
      <c r="C26" s="94">
        <v>8</v>
      </c>
      <c r="D26" s="96" t="str">
        <f t="shared" si="0"/>
        <v/>
      </c>
      <c r="E26" s="96">
        <f t="shared" si="1"/>
        <v>0</v>
      </c>
      <c r="F26" s="96">
        <f t="shared" si="2"/>
        <v>1</v>
      </c>
      <c r="G26" s="96">
        <f t="shared" si="3"/>
        <v>0</v>
      </c>
      <c r="H26" s="96">
        <f t="shared" si="6"/>
        <v>2</v>
      </c>
      <c r="I26" s="243">
        <f>'Epi-Curve Model'!E64</f>
        <v>8.7039434240700153E-2</v>
      </c>
      <c r="J26" s="78" t="e">
        <f ca="1">'Epi-Curve Model'!G64</f>
        <v>#N/A</v>
      </c>
      <c r="K26" s="78" t="e">
        <f ca="1">'Epi-Curve Model'!F64</f>
        <v>#N/A</v>
      </c>
      <c r="L26" s="227">
        <f t="shared" si="7"/>
        <v>0.83593220338983054</v>
      </c>
      <c r="M26" s="235">
        <f t="shared" si="4"/>
        <v>0</v>
      </c>
      <c r="N26" s="235">
        <f t="shared" si="8"/>
        <v>0</v>
      </c>
      <c r="O26" s="78" t="str">
        <f>IF(OR(PEP_Decisions!$E$40="",PEP_Decisions!$E$6="",PEP_Decisions!$E$15="",PEP_Decisions!$E$24="",PEP_Decisions!$E$38="No",PEP_Decisions!$E$38="",)," ",IF(K26&gt;0,K26,IF(H26&gt;0,IF(J26*(1-($D$14*L26*N26/$H$9))&lt;0,0,(J26*(1-($D$14*L26*N26/$H$9)))),J26)))</f>
        <v xml:space="preserve"> </v>
      </c>
      <c r="P26" s="78" t="e">
        <f t="shared" ca="1" si="5"/>
        <v>#VALUE!</v>
      </c>
      <c r="Q26" s="78" t="e">
        <f ca="1">'Epi-Curve Model'!I64</f>
        <v>#N/A</v>
      </c>
      <c r="R26" s="247" t="e">
        <f t="shared" si="9"/>
        <v>#VALUE!</v>
      </c>
      <c r="S26" s="247" t="e">
        <f ca="1">'Epi-Curve Model'!J64</f>
        <v>#N/A</v>
      </c>
      <c r="T26" s="78" t="e">
        <f ca="1">'Epi-Curve Model'!K64</f>
        <v>#N/A</v>
      </c>
      <c r="W26" s="634"/>
    </row>
    <row r="27" spans="2:25" x14ac:dyDescent="0.25">
      <c r="B27" s="104">
        <f t="shared" si="10"/>
        <v>8</v>
      </c>
      <c r="C27" s="94">
        <v>9</v>
      </c>
      <c r="D27" s="96" t="str">
        <f t="shared" si="0"/>
        <v/>
      </c>
      <c r="E27" s="96">
        <f t="shared" si="1"/>
        <v>0</v>
      </c>
      <c r="F27" s="96">
        <f t="shared" si="2"/>
        <v>1</v>
      </c>
      <c r="G27" s="96">
        <f t="shared" si="3"/>
        <v>0</v>
      </c>
      <c r="H27" s="96">
        <f t="shared" si="6"/>
        <v>2</v>
      </c>
      <c r="I27" s="243">
        <f>'Epi-Curve Model'!E65</f>
        <v>7.2924937114623223E-2</v>
      </c>
      <c r="J27" s="78" t="e">
        <f ca="1">'Epi-Curve Model'!G65</f>
        <v>#N/A</v>
      </c>
      <c r="K27" s="78" t="e">
        <f ca="1">'Epi-Curve Model'!F65</f>
        <v>#N/A</v>
      </c>
      <c r="L27" s="227">
        <f t="shared" si="7"/>
        <v>0.82677966101694911</v>
      </c>
      <c r="M27" s="235">
        <f t="shared" si="4"/>
        <v>0</v>
      </c>
      <c r="N27" s="235">
        <f t="shared" si="8"/>
        <v>0</v>
      </c>
      <c r="O27" s="78" t="str">
        <f>IF(OR(PEP_Decisions!$E$40="",PEP_Decisions!$E$6="",PEP_Decisions!$E$15="",PEP_Decisions!$E$24="",PEP_Decisions!$E$38="No",PEP_Decisions!$E$38="",)," ",IF(K27&gt;0,K27,IF(H27&gt;0,IF(J27*(1-($D$14*L27*N27/$H$9))&lt;0,0,(J27*(1-($D$14*L27*N27/$H$9)))),J27)))</f>
        <v xml:space="preserve"> </v>
      </c>
      <c r="P27" s="78" t="e">
        <f t="shared" ca="1" si="5"/>
        <v>#VALUE!</v>
      </c>
      <c r="Q27" s="78" t="e">
        <f ca="1">'Epi-Curve Model'!I65</f>
        <v>#N/A</v>
      </c>
      <c r="R27" s="247" t="e">
        <f t="shared" si="9"/>
        <v>#VALUE!</v>
      </c>
      <c r="S27" s="247" t="e">
        <f ca="1">'Epi-Curve Model'!J65</f>
        <v>#N/A</v>
      </c>
      <c r="T27" s="78" t="e">
        <f ca="1">'Epi-Curve Model'!K65</f>
        <v>#N/A</v>
      </c>
      <c r="W27" s="634"/>
    </row>
    <row r="28" spans="2:25" x14ac:dyDescent="0.25">
      <c r="B28" s="104">
        <f t="shared" si="10"/>
        <v>9</v>
      </c>
      <c r="C28" s="94">
        <v>10</v>
      </c>
      <c r="D28" s="96" t="str">
        <f t="shared" si="0"/>
        <v/>
      </c>
      <c r="E28" s="96">
        <f t="shared" si="1"/>
        <v>0</v>
      </c>
      <c r="F28" s="96">
        <f t="shared" si="2"/>
        <v>1</v>
      </c>
      <c r="G28" s="96">
        <f t="shared" si="3"/>
        <v>0</v>
      </c>
      <c r="H28" s="96">
        <f t="shared" si="6"/>
        <v>2</v>
      </c>
      <c r="I28" s="243">
        <f>'Epi-Curve Model'!E66</f>
        <v>6.0100072930732162E-2</v>
      </c>
      <c r="J28" s="78" t="e">
        <f ca="1">'Epi-Curve Model'!G66</f>
        <v>#N/A</v>
      </c>
      <c r="K28" s="78" t="e">
        <f ca="1">'Epi-Curve Model'!F66</f>
        <v>#N/A</v>
      </c>
      <c r="L28" s="227">
        <f t="shared" si="7"/>
        <v>0.81762711864406779</v>
      </c>
      <c r="M28" s="235">
        <f t="shared" si="4"/>
        <v>0</v>
      </c>
      <c r="N28" s="235">
        <f t="shared" si="8"/>
        <v>0</v>
      </c>
      <c r="O28" s="78" t="str">
        <f>IF(OR(PEP_Decisions!$E$40="",PEP_Decisions!$E$6="",PEP_Decisions!$E$15="",PEP_Decisions!$E$24="",PEP_Decisions!$E$38="No",PEP_Decisions!$E$38="",)," ",IF(K28&gt;0,K28,IF(H28&gt;0,IF(J28*(1-($D$14*L28*N28/$H$9))&lt;0,0,(J28*(1-($D$14*L28*N28/$H$9)))),J28)))</f>
        <v xml:space="preserve"> </v>
      </c>
      <c r="P28" s="78" t="e">
        <f t="shared" ca="1" si="5"/>
        <v>#VALUE!</v>
      </c>
      <c r="Q28" s="78" t="e">
        <f ca="1">'Epi-Curve Model'!I66</f>
        <v>#N/A</v>
      </c>
      <c r="R28" s="247" t="e">
        <f t="shared" si="9"/>
        <v>#VALUE!</v>
      </c>
      <c r="S28" s="247" t="e">
        <f ca="1">'Epi-Curve Model'!J66</f>
        <v>#N/A</v>
      </c>
      <c r="T28" s="78" t="e">
        <f ca="1">'Epi-Curve Model'!K66</f>
        <v>#N/A</v>
      </c>
      <c r="W28" s="634"/>
    </row>
    <row r="29" spans="2:25" x14ac:dyDescent="0.25">
      <c r="B29" s="104">
        <f t="shared" si="10"/>
        <v>10</v>
      </c>
      <c r="C29" s="94">
        <v>11</v>
      </c>
      <c r="D29" s="96" t="str">
        <f t="shared" si="0"/>
        <v/>
      </c>
      <c r="E29" s="96">
        <f t="shared" si="1"/>
        <v>0</v>
      </c>
      <c r="F29" s="96">
        <f t="shared" si="2"/>
        <v>1</v>
      </c>
      <c r="G29" s="96">
        <f t="shared" si="3"/>
        <v>0</v>
      </c>
      <c r="H29" s="96">
        <f t="shared" si="6"/>
        <v>2</v>
      </c>
      <c r="I29" s="243">
        <f>'Epi-Curve Model'!E67</f>
        <v>4.9052049534391018E-2</v>
      </c>
      <c r="J29" s="78" t="e">
        <f ca="1">'Epi-Curve Model'!G67</f>
        <v>#N/A</v>
      </c>
      <c r="K29" s="78" t="e">
        <f ca="1">'Epi-Curve Model'!F67</f>
        <v>#N/A</v>
      </c>
      <c r="L29" s="227">
        <f t="shared" si="7"/>
        <v>0.80847457627118646</v>
      </c>
      <c r="M29" s="235">
        <f t="shared" si="4"/>
        <v>0</v>
      </c>
      <c r="N29" s="235">
        <f t="shared" si="8"/>
        <v>0</v>
      </c>
      <c r="O29" s="78" t="str">
        <f>IF(OR(PEP_Decisions!$E$40="",PEP_Decisions!$E$6="",PEP_Decisions!$E$15="",PEP_Decisions!$E$24="",PEP_Decisions!$E$38="No",PEP_Decisions!$E$38="",)," ",IF(K29&gt;0,K29,IF(H29&gt;0,IF(J29*(1-($D$14*L29*N29/$H$9))&lt;0,0,(J29*(1-($D$14*L29*N29/$H$9)))),J29)))</f>
        <v xml:space="preserve"> </v>
      </c>
      <c r="P29" s="78" t="e">
        <f t="shared" ca="1" si="5"/>
        <v>#VALUE!</v>
      </c>
      <c r="Q29" s="78" t="e">
        <f ca="1">'Epi-Curve Model'!I67</f>
        <v>#N/A</v>
      </c>
      <c r="R29" s="247" t="e">
        <f t="shared" si="9"/>
        <v>#VALUE!</v>
      </c>
      <c r="S29" s="247" t="e">
        <f ca="1">'Epi-Curve Model'!J67</f>
        <v>#N/A</v>
      </c>
      <c r="T29" s="78" t="e">
        <f ca="1">'Epi-Curve Model'!K67</f>
        <v>#N/A</v>
      </c>
      <c r="W29" s="634"/>
    </row>
    <row r="30" spans="2:25" x14ac:dyDescent="0.25">
      <c r="B30" s="104">
        <f t="shared" si="10"/>
        <v>11</v>
      </c>
      <c r="C30" s="94">
        <v>12</v>
      </c>
      <c r="D30" s="96" t="str">
        <f t="shared" si="0"/>
        <v/>
      </c>
      <c r="E30" s="96">
        <f t="shared" si="1"/>
        <v>0</v>
      </c>
      <c r="F30" s="96">
        <f t="shared" si="2"/>
        <v>1</v>
      </c>
      <c r="G30" s="96">
        <f t="shared" si="3"/>
        <v>0</v>
      </c>
      <c r="H30" s="96">
        <f t="shared" si="6"/>
        <v>2</v>
      </c>
      <c r="I30" s="243">
        <f>'Epi-Curve Model'!E68</f>
        <v>3.9819643623599688E-2</v>
      </c>
      <c r="J30" s="78" t="e">
        <f ca="1">'Epi-Curve Model'!G68</f>
        <v>#N/A</v>
      </c>
      <c r="K30" s="78" t="e">
        <f ca="1">'Epi-Curve Model'!F68</f>
        <v>#N/A</v>
      </c>
      <c r="L30" s="227">
        <f t="shared" si="7"/>
        <v>0.79932203389830514</v>
      </c>
      <c r="M30" s="235">
        <f t="shared" si="4"/>
        <v>0</v>
      </c>
      <c r="N30" s="235">
        <f t="shared" si="8"/>
        <v>0</v>
      </c>
      <c r="O30" s="78" t="str">
        <f>IF(OR(PEP_Decisions!$E$40="",PEP_Decisions!$E$6="",PEP_Decisions!$E$15="",PEP_Decisions!$E$24="",PEP_Decisions!$E$38="No",PEP_Decisions!$E$38="",)," ",IF(K30&gt;0,K30,IF(H30&gt;0,IF(J30*(1-($D$14*L30*N30/$H$9))&lt;0,0,(J30*(1-($D$14*L30*N30/$H$9)))),J30)))</f>
        <v xml:space="preserve"> </v>
      </c>
      <c r="P30" s="78" t="e">
        <f t="shared" ca="1" si="5"/>
        <v>#VALUE!</v>
      </c>
      <c r="Q30" s="78" t="e">
        <f ca="1">'Epi-Curve Model'!I68</f>
        <v>#N/A</v>
      </c>
      <c r="R30" s="247" t="e">
        <f t="shared" si="9"/>
        <v>#VALUE!</v>
      </c>
      <c r="S30" s="247" t="e">
        <f ca="1">'Epi-Curve Model'!J68</f>
        <v>#N/A</v>
      </c>
      <c r="T30" s="78" t="e">
        <f ca="1">'Epi-Curve Model'!K68</f>
        <v>#N/A</v>
      </c>
      <c r="W30" s="634"/>
    </row>
    <row r="31" spans="2:25" x14ac:dyDescent="0.25">
      <c r="B31" s="104">
        <f t="shared" si="10"/>
        <v>12</v>
      </c>
      <c r="C31" s="94">
        <v>13</v>
      </c>
      <c r="D31" s="96" t="str">
        <f t="shared" si="0"/>
        <v/>
      </c>
      <c r="E31" s="96">
        <f t="shared" si="1"/>
        <v>0</v>
      </c>
      <c r="F31" s="96">
        <f t="shared" si="2"/>
        <v>1</v>
      </c>
      <c r="G31" s="96">
        <f t="shared" si="3"/>
        <v>0</v>
      </c>
      <c r="H31" s="96">
        <f t="shared" si="6"/>
        <v>2</v>
      </c>
      <c r="I31" s="243">
        <f>'Epi-Curve Model'!E69</f>
        <v>3.2242016008762531E-2</v>
      </c>
      <c r="J31" s="78" t="e">
        <f ca="1">'Epi-Curve Model'!G69</f>
        <v>#N/A</v>
      </c>
      <c r="K31" s="78" t="e">
        <f ca="1">'Epi-Curve Model'!F69</f>
        <v>#N/A</v>
      </c>
      <c r="L31" s="227">
        <f t="shared" si="7"/>
        <v>0.79016949152542382</v>
      </c>
      <c r="M31" s="235">
        <f t="shared" si="4"/>
        <v>0</v>
      </c>
      <c r="N31" s="235">
        <f t="shared" si="8"/>
        <v>0</v>
      </c>
      <c r="O31" s="78" t="str">
        <f>IF(OR(PEP_Decisions!$E$40="",PEP_Decisions!$E$6="",PEP_Decisions!$E$15="",PEP_Decisions!$E$24="",PEP_Decisions!$E$38="No",PEP_Decisions!$E$38="",)," ",IF(K31&gt;0,K31,IF(H31&gt;0,IF(J31*(1-($D$14*L31*N31/$H$9))&lt;0,0,(J31*(1-($D$14*L31*N31/$H$9)))),J31)))</f>
        <v xml:space="preserve"> </v>
      </c>
      <c r="P31" s="78" t="e">
        <f t="shared" ca="1" si="5"/>
        <v>#VALUE!</v>
      </c>
      <c r="Q31" s="78" t="e">
        <f ca="1">'Epi-Curve Model'!I69</f>
        <v>#N/A</v>
      </c>
      <c r="R31" s="247" t="e">
        <f t="shared" si="9"/>
        <v>#VALUE!</v>
      </c>
      <c r="S31" s="247" t="e">
        <f ca="1">'Epi-Curve Model'!J69</f>
        <v>#N/A</v>
      </c>
      <c r="T31" s="78" t="e">
        <f ca="1">'Epi-Curve Model'!K69</f>
        <v>#N/A</v>
      </c>
    </row>
    <row r="32" spans="2:25" x14ac:dyDescent="0.25">
      <c r="B32" s="104">
        <f t="shared" si="10"/>
        <v>13</v>
      </c>
      <c r="C32" s="94">
        <v>14</v>
      </c>
      <c r="D32" s="96" t="str">
        <f t="shared" si="0"/>
        <v/>
      </c>
      <c r="E32" s="96">
        <f t="shared" si="1"/>
        <v>0</v>
      </c>
      <c r="F32" s="96">
        <f t="shared" si="2"/>
        <v>1</v>
      </c>
      <c r="G32" s="96">
        <f t="shared" si="3"/>
        <v>0</v>
      </c>
      <c r="H32" s="96">
        <f t="shared" si="6"/>
        <v>2</v>
      </c>
      <c r="I32" s="243">
        <f>'Epi-Curve Model'!E70</f>
        <v>2.6088539843554082E-2</v>
      </c>
      <c r="J32" s="78" t="e">
        <f ca="1">'Epi-Curve Model'!G70</f>
        <v>#N/A</v>
      </c>
      <c r="K32" s="78" t="e">
        <f ca="1">'Epi-Curve Model'!F70</f>
        <v>#N/A</v>
      </c>
      <c r="L32" s="227">
        <f t="shared" si="7"/>
        <v>0.78101694915254238</v>
      </c>
      <c r="M32" s="235">
        <f t="shared" si="4"/>
        <v>0</v>
      </c>
      <c r="N32" s="235">
        <f t="shared" si="8"/>
        <v>0</v>
      </c>
      <c r="O32" s="78" t="str">
        <f>IF(OR(PEP_Decisions!$E$40="",PEP_Decisions!$E$6="",PEP_Decisions!$E$15="",PEP_Decisions!$E$24="",PEP_Decisions!$E$38="No",PEP_Decisions!$E$38="",)," ",IF(K32&gt;0,K32,IF(H32&gt;0,IF(J32*(1-($D$14*L32*N32/$H$9))&lt;0,0,(J32*(1-($D$14*L32*N32/$H$9)))),J32)))</f>
        <v xml:space="preserve"> </v>
      </c>
      <c r="P32" s="78" t="e">
        <f t="shared" ca="1" si="5"/>
        <v>#VALUE!</v>
      </c>
      <c r="Q32" s="78" t="e">
        <f ca="1">'Epi-Curve Model'!I70</f>
        <v>#N/A</v>
      </c>
      <c r="R32" s="247" t="e">
        <f t="shared" si="9"/>
        <v>#VALUE!</v>
      </c>
      <c r="S32" s="247" t="e">
        <f ca="1">'Epi-Curve Model'!J70</f>
        <v>#N/A</v>
      </c>
      <c r="T32" s="78" t="e">
        <f ca="1">'Epi-Curve Model'!K70</f>
        <v>#N/A</v>
      </c>
    </row>
    <row r="33" spans="2:20" x14ac:dyDescent="0.25">
      <c r="B33" s="104">
        <f t="shared" si="10"/>
        <v>14</v>
      </c>
      <c r="C33" s="94">
        <v>15</v>
      </c>
      <c r="D33" s="96" t="str">
        <f t="shared" si="0"/>
        <v/>
      </c>
      <c r="E33" s="96">
        <f t="shared" si="1"/>
        <v>0</v>
      </c>
      <c r="F33" s="96">
        <f t="shared" si="2"/>
        <v>1</v>
      </c>
      <c r="G33" s="96">
        <f t="shared" si="3"/>
        <v>0</v>
      </c>
      <c r="H33" s="96">
        <f t="shared" si="6"/>
        <v>2</v>
      </c>
      <c r="I33" s="243">
        <f>'Epi-Curve Model'!E71</f>
        <v>2.1121891520729075E-2</v>
      </c>
      <c r="J33" s="78" t="e">
        <f ca="1">'Epi-Curve Model'!G71</f>
        <v>#N/A</v>
      </c>
      <c r="K33" s="78" t="e">
        <f ca="1">'Epi-Curve Model'!F71</f>
        <v>#N/A</v>
      </c>
      <c r="L33" s="227">
        <f t="shared" si="7"/>
        <v>0.77186440677966106</v>
      </c>
      <c r="M33" s="235">
        <f t="shared" si="4"/>
        <v>0</v>
      </c>
      <c r="N33" s="235">
        <f t="shared" si="8"/>
        <v>0</v>
      </c>
      <c r="O33" s="78" t="str">
        <f>IF(OR(PEP_Decisions!$E$40="",PEP_Decisions!$E$6="",PEP_Decisions!$E$15="",PEP_Decisions!$E$24="",PEP_Decisions!$E$38="No",PEP_Decisions!$E$38="",)," ",IF(K33&gt;0,K33,IF(H33&gt;0,IF(J33*(1-($D$14*L33*N33/$H$9))&lt;0,0,(J33*(1-($D$14*L33*N33/$H$9)))),J33)))</f>
        <v xml:space="preserve"> </v>
      </c>
      <c r="P33" s="78" t="e">
        <f t="shared" ca="1" si="5"/>
        <v>#VALUE!</v>
      </c>
      <c r="Q33" s="78" t="e">
        <f ca="1">'Epi-Curve Model'!I71</f>
        <v>#N/A</v>
      </c>
      <c r="R33" s="247" t="e">
        <f t="shared" si="9"/>
        <v>#VALUE!</v>
      </c>
      <c r="S33" s="247" t="e">
        <f ca="1">'Epi-Curve Model'!J71</f>
        <v>#N/A</v>
      </c>
      <c r="T33" s="78" t="e">
        <f ca="1">'Epi-Curve Model'!K71</f>
        <v>#N/A</v>
      </c>
    </row>
    <row r="34" spans="2:20" x14ac:dyDescent="0.25">
      <c r="B34" s="104">
        <f t="shared" si="10"/>
        <v>15</v>
      </c>
      <c r="C34" s="94">
        <v>16</v>
      </c>
      <c r="D34" s="96" t="str">
        <f t="shared" si="0"/>
        <v/>
      </c>
      <c r="E34" s="96">
        <f t="shared" si="1"/>
        <v>0</v>
      </c>
      <c r="F34" s="96">
        <f t="shared" si="2"/>
        <v>1</v>
      </c>
      <c r="G34" s="96">
        <f t="shared" si="3"/>
        <v>0</v>
      </c>
      <c r="H34" s="96">
        <f t="shared" si="6"/>
        <v>2</v>
      </c>
      <c r="I34" s="243">
        <f>'Epi-Curve Model'!E72</f>
        <v>1.712564600287747E-2</v>
      </c>
      <c r="J34" s="78" t="e">
        <f ca="1">'Epi-Curve Model'!G72</f>
        <v>#N/A</v>
      </c>
      <c r="K34" s="78" t="e">
        <f ca="1">'Epi-Curve Model'!F72</f>
        <v>#N/A</v>
      </c>
      <c r="L34" s="227">
        <f t="shared" si="7"/>
        <v>0.76271186440677963</v>
      </c>
      <c r="M34" s="235">
        <f t="shared" si="4"/>
        <v>0</v>
      </c>
      <c r="N34" s="235">
        <f t="shared" si="8"/>
        <v>0</v>
      </c>
      <c r="O34" s="78" t="str">
        <f>IF(OR(PEP_Decisions!$E$40="",PEP_Decisions!$E$6="",PEP_Decisions!$E$15="",PEP_Decisions!$E$24="",PEP_Decisions!$E$38="No",PEP_Decisions!$E$38="",)," ",IF(K34&gt;0,K34,IF(H34&gt;0,IF(J34*(1-($D$14*L34*N34/$H$9))&lt;0,0,(J34*(1-($D$14*L34*N34/$H$9)))),J34)))</f>
        <v xml:space="preserve"> </v>
      </c>
      <c r="P34" s="78" t="e">
        <f t="shared" ca="1" si="5"/>
        <v>#VALUE!</v>
      </c>
      <c r="Q34" s="78" t="e">
        <f ca="1">'Epi-Curve Model'!I72</f>
        <v>#N/A</v>
      </c>
      <c r="R34" s="247" t="e">
        <f t="shared" si="9"/>
        <v>#VALUE!</v>
      </c>
      <c r="S34" s="247" t="e">
        <f ca="1">'Epi-Curve Model'!J72</f>
        <v>#N/A</v>
      </c>
      <c r="T34" s="78" t="e">
        <f ca="1">'Epi-Curve Model'!K72</f>
        <v>#N/A</v>
      </c>
    </row>
    <row r="35" spans="2:20" x14ac:dyDescent="0.25">
      <c r="B35" s="104">
        <f t="shared" si="10"/>
        <v>16</v>
      </c>
      <c r="C35" s="94">
        <v>17</v>
      </c>
      <c r="D35" s="96" t="str">
        <f t="shared" si="0"/>
        <v/>
      </c>
      <c r="E35" s="96">
        <f t="shared" si="1"/>
        <v>0</v>
      </c>
      <c r="F35" s="96">
        <f t="shared" si="2"/>
        <v>1</v>
      </c>
      <c r="G35" s="96">
        <f t="shared" si="3"/>
        <v>0</v>
      </c>
      <c r="H35" s="96">
        <f t="shared" si="6"/>
        <v>2</v>
      </c>
      <c r="I35" s="243">
        <f>'Epi-Curve Model'!E73</f>
        <v>1.3913851413963396E-2</v>
      </c>
      <c r="J35" s="78" t="e">
        <f ca="1">'Epi-Curve Model'!G73</f>
        <v>#N/A</v>
      </c>
      <c r="K35" s="78" t="e">
        <f ca="1">'Epi-Curve Model'!F73</f>
        <v>#N/A</v>
      </c>
      <c r="L35" s="227">
        <f t="shared" si="7"/>
        <v>0.7535593220338983</v>
      </c>
      <c r="M35" s="235">
        <f t="shared" si="4"/>
        <v>0</v>
      </c>
      <c r="N35" s="235">
        <f t="shared" si="8"/>
        <v>0</v>
      </c>
      <c r="O35" s="78" t="str">
        <f>IF(OR(PEP_Decisions!$E$40="",PEP_Decisions!$E$6="",PEP_Decisions!$E$15="",PEP_Decisions!$E$24="",PEP_Decisions!$E$38="No",PEP_Decisions!$E$38="",)," ",IF(K35&gt;0,K35,IF(H35&gt;0,IF(J35*(1-($D$14*L35*N35/$H$9))&lt;0,0,(J35*(1-($D$14*L35*N35/$H$9)))),J35)))</f>
        <v xml:space="preserve"> </v>
      </c>
      <c r="P35" s="78" t="e">
        <f t="shared" ca="1" si="5"/>
        <v>#VALUE!</v>
      </c>
      <c r="Q35" s="78" t="e">
        <f ca="1">'Epi-Curve Model'!I73</f>
        <v>#N/A</v>
      </c>
      <c r="R35" s="247" t="e">
        <f t="shared" si="9"/>
        <v>#VALUE!</v>
      </c>
      <c r="S35" s="247" t="e">
        <f ca="1">'Epi-Curve Model'!J73</f>
        <v>#N/A</v>
      </c>
      <c r="T35" s="78" t="e">
        <f ca="1">'Epi-Curve Model'!K73</f>
        <v>#N/A</v>
      </c>
    </row>
    <row r="36" spans="2:20" x14ac:dyDescent="0.25">
      <c r="B36" s="104">
        <f t="shared" si="10"/>
        <v>17</v>
      </c>
      <c r="C36" s="94">
        <v>18</v>
      </c>
      <c r="D36" s="96" t="str">
        <f t="shared" si="0"/>
        <v/>
      </c>
      <c r="E36" s="96">
        <f t="shared" si="1"/>
        <v>0</v>
      </c>
      <c r="F36" s="96">
        <f t="shared" si="2"/>
        <v>1</v>
      </c>
      <c r="G36" s="96">
        <f t="shared" si="3"/>
        <v>0</v>
      </c>
      <c r="H36" s="96">
        <f t="shared" si="6"/>
        <v>2</v>
      </c>
      <c r="I36" s="243">
        <f>'Epi-Curve Model'!E74</f>
        <v>1.1331975464016319E-2</v>
      </c>
      <c r="J36" s="78" t="e">
        <f ca="1">'Epi-Curve Model'!G74</f>
        <v>#N/A</v>
      </c>
      <c r="K36" s="78" t="e">
        <f ca="1">'Epi-Curve Model'!F74</f>
        <v>#N/A</v>
      </c>
      <c r="L36" s="227">
        <f t="shared" si="7"/>
        <v>0.74440677966101698</v>
      </c>
      <c r="M36" s="235">
        <f t="shared" si="4"/>
        <v>0</v>
      </c>
      <c r="N36" s="235">
        <f t="shared" si="8"/>
        <v>0</v>
      </c>
      <c r="O36" s="78" t="str">
        <f>IF(OR(PEP_Decisions!$E$40="",PEP_Decisions!$E$6="",PEP_Decisions!$E$15="",PEP_Decisions!$E$24="",PEP_Decisions!$E$38="No",PEP_Decisions!$E$38="",)," ",IF(K36&gt;0,K36,IF(H36&gt;0,IF(J36*(1-($D$14*L36*N36/$H$9))&lt;0,0,(J36*(1-($D$14*L36*N36/$H$9)))),J36)))</f>
        <v xml:space="preserve"> </v>
      </c>
      <c r="P36" s="78" t="e">
        <f t="shared" ca="1" si="5"/>
        <v>#VALUE!</v>
      </c>
      <c r="Q36" s="78" t="e">
        <f ca="1">'Epi-Curve Model'!I74</f>
        <v>#N/A</v>
      </c>
      <c r="R36" s="247" t="e">
        <f t="shared" si="9"/>
        <v>#VALUE!</v>
      </c>
      <c r="S36" s="247" t="e">
        <f ca="1">'Epi-Curve Model'!J74</f>
        <v>#N/A</v>
      </c>
      <c r="T36" s="78" t="e">
        <f ca="1">'Epi-Curve Model'!K74</f>
        <v>#N/A</v>
      </c>
    </row>
    <row r="37" spans="2:20" x14ac:dyDescent="0.25">
      <c r="B37" s="104">
        <f t="shared" si="10"/>
        <v>18</v>
      </c>
      <c r="C37" s="94">
        <v>19</v>
      </c>
      <c r="D37" s="96" t="str">
        <f t="shared" si="0"/>
        <v/>
      </c>
      <c r="E37" s="96">
        <f t="shared" si="1"/>
        <v>0</v>
      </c>
      <c r="F37" s="96">
        <f t="shared" si="2"/>
        <v>1</v>
      </c>
      <c r="G37" s="96">
        <f t="shared" si="3"/>
        <v>0</v>
      </c>
      <c r="H37" s="96">
        <f t="shared" si="6"/>
        <v>2</v>
      </c>
      <c r="I37" s="243">
        <f>'Epi-Curve Model'!E75</f>
        <v>9.2541115785630401E-3</v>
      </c>
      <c r="J37" s="78" t="e">
        <f ca="1">'Epi-Curve Model'!G75</f>
        <v>#N/A</v>
      </c>
      <c r="K37" s="78" t="e">
        <f ca="1">'Epi-Curve Model'!F75</f>
        <v>#N/A</v>
      </c>
      <c r="L37" s="227">
        <f t="shared" si="7"/>
        <v>0.73525423728813566</v>
      </c>
      <c r="M37" s="235">
        <f t="shared" si="4"/>
        <v>0</v>
      </c>
      <c r="N37" s="235">
        <f t="shared" si="8"/>
        <v>0</v>
      </c>
      <c r="O37" s="78" t="str">
        <f>IF(OR(PEP_Decisions!$E$40="",PEP_Decisions!$E$6="",PEP_Decisions!$E$15="",PEP_Decisions!$E$24="",PEP_Decisions!$E$38="No",PEP_Decisions!$E$38="",)," ",IF(K37&gt;0,K37,IF(H37&gt;0,IF(J37*(1-($D$14*L37*N37/$H$9))&lt;0,0,(J37*(1-($D$14*L37*N37/$H$9)))),J37)))</f>
        <v xml:space="preserve"> </v>
      </c>
      <c r="P37" s="78" t="e">
        <f t="shared" ca="1" si="5"/>
        <v>#VALUE!</v>
      </c>
      <c r="Q37" s="78" t="e">
        <f ca="1">'Epi-Curve Model'!I75</f>
        <v>#N/A</v>
      </c>
      <c r="R37" s="247" t="e">
        <f t="shared" si="9"/>
        <v>#VALUE!</v>
      </c>
      <c r="S37" s="247" t="e">
        <f ca="1">'Epi-Curve Model'!J75</f>
        <v>#N/A</v>
      </c>
      <c r="T37" s="78" t="e">
        <f ca="1">'Epi-Curve Model'!K75</f>
        <v>#N/A</v>
      </c>
    </row>
    <row r="38" spans="2:20" x14ac:dyDescent="0.25">
      <c r="B38" s="104">
        <f t="shared" si="10"/>
        <v>19</v>
      </c>
      <c r="C38" s="94">
        <v>20</v>
      </c>
      <c r="D38" s="96" t="str">
        <f t="shared" si="0"/>
        <v/>
      </c>
      <c r="E38" s="96">
        <f t="shared" si="1"/>
        <v>0</v>
      </c>
      <c r="F38" s="96">
        <f t="shared" si="2"/>
        <v>1</v>
      </c>
      <c r="G38" s="96">
        <f t="shared" si="3"/>
        <v>0</v>
      </c>
      <c r="H38" s="96">
        <f t="shared" si="6"/>
        <v>2</v>
      </c>
      <c r="I38" s="243">
        <f>'Epi-Curve Model'!E76</f>
        <v>7.5788972441808156E-3</v>
      </c>
      <c r="J38" s="78" t="e">
        <f ca="1">'Epi-Curve Model'!G76</f>
        <v>#N/A</v>
      </c>
      <c r="K38" s="78" t="e">
        <f ca="1">'Epi-Curve Model'!F76</f>
        <v>#N/A</v>
      </c>
      <c r="L38" s="227">
        <f t="shared" si="7"/>
        <v>0.72610169491525434</v>
      </c>
      <c r="M38" s="235">
        <f t="shared" si="4"/>
        <v>0</v>
      </c>
      <c r="N38" s="235">
        <f t="shared" si="8"/>
        <v>0</v>
      </c>
      <c r="O38" s="78" t="str">
        <f>IF(OR(PEP_Decisions!$E$40="",PEP_Decisions!$E$6="",PEP_Decisions!$E$15="",PEP_Decisions!$E$24="",PEP_Decisions!$E$38="No",PEP_Decisions!$E$38="",)," ",IF(K38&gt;0,K38,IF(H38&gt;0,IF(J38*(1-($D$14*L38*N38/$H$9))&lt;0,0,(J38*(1-($D$14*L38*N38/$H$9)))),J38)))</f>
        <v xml:space="preserve"> </v>
      </c>
      <c r="P38" s="78" t="e">
        <f t="shared" ca="1" si="5"/>
        <v>#VALUE!</v>
      </c>
      <c r="Q38" s="78" t="e">
        <f ca="1">'Epi-Curve Model'!I76</f>
        <v>#N/A</v>
      </c>
      <c r="R38" s="247" t="e">
        <f t="shared" si="9"/>
        <v>#VALUE!</v>
      </c>
      <c r="S38" s="247" t="e">
        <f ca="1">'Epi-Curve Model'!J76</f>
        <v>#N/A</v>
      </c>
      <c r="T38" s="78" t="e">
        <f ca="1">'Epi-Curve Model'!K76</f>
        <v>#N/A</v>
      </c>
    </row>
    <row r="39" spans="2:20" x14ac:dyDescent="0.25">
      <c r="B39" s="104">
        <f t="shared" si="10"/>
        <v>20</v>
      </c>
      <c r="C39" s="94">
        <v>21</v>
      </c>
      <c r="D39" s="96" t="str">
        <f t="shared" si="0"/>
        <v/>
      </c>
      <c r="E39" s="96">
        <f t="shared" si="1"/>
        <v>0</v>
      </c>
      <c r="F39" s="96">
        <f t="shared" si="2"/>
        <v>1</v>
      </c>
      <c r="G39" s="96">
        <f t="shared" si="3"/>
        <v>0</v>
      </c>
      <c r="H39" s="96">
        <f t="shared" si="6"/>
        <v>2</v>
      </c>
      <c r="I39" s="243">
        <f>'Epi-Curve Model'!E77</f>
        <v>6.2253106633846089E-3</v>
      </c>
      <c r="J39" s="78" t="e">
        <f ca="1">'Epi-Curve Model'!G77</f>
        <v>#N/A</v>
      </c>
      <c r="K39" s="78" t="e">
        <f ca="1">'Epi-Curve Model'!F77</f>
        <v>#N/A</v>
      </c>
      <c r="L39" s="227">
        <f t="shared" si="7"/>
        <v>0.7169491525423729</v>
      </c>
      <c r="M39" s="235">
        <f t="shared" si="4"/>
        <v>0</v>
      </c>
      <c r="N39" s="235">
        <f t="shared" si="8"/>
        <v>0</v>
      </c>
      <c r="O39" s="78" t="str">
        <f>IF(OR(PEP_Decisions!$E$40="",PEP_Decisions!$E$6="",PEP_Decisions!$E$15="",PEP_Decisions!$E$24="",PEP_Decisions!$E$38="No",PEP_Decisions!$E$38="",)," ",IF(K39&gt;0,K39,IF(H39&gt;0,IF(J39*(1-($D$14*L39*N39/$H$9))&lt;0,0,(J39*(1-($D$14*L39*N39/$H$9)))),J39)))</f>
        <v xml:space="preserve"> </v>
      </c>
      <c r="P39" s="78" t="e">
        <f t="shared" ca="1" si="5"/>
        <v>#VALUE!</v>
      </c>
      <c r="Q39" s="78" t="e">
        <f ca="1">'Epi-Curve Model'!I77</f>
        <v>#N/A</v>
      </c>
      <c r="R39" s="247" t="e">
        <f t="shared" si="9"/>
        <v>#VALUE!</v>
      </c>
      <c r="S39" s="247" t="e">
        <f ca="1">'Epi-Curve Model'!J77</f>
        <v>#N/A</v>
      </c>
      <c r="T39" s="78" t="e">
        <f ca="1">'Epi-Curve Model'!K77</f>
        <v>#N/A</v>
      </c>
    </row>
    <row r="40" spans="2:20" x14ac:dyDescent="0.25">
      <c r="B40" s="104">
        <f t="shared" si="10"/>
        <v>21</v>
      </c>
      <c r="C40" s="94">
        <v>22</v>
      </c>
      <c r="D40" s="96" t="str">
        <f t="shared" si="0"/>
        <v/>
      </c>
      <c r="E40" s="96">
        <f t="shared" si="1"/>
        <v>0</v>
      </c>
      <c r="F40" s="96">
        <f t="shared" si="2"/>
        <v>1</v>
      </c>
      <c r="G40" s="96">
        <f t="shared" si="3"/>
        <v>0</v>
      </c>
      <c r="H40" s="96">
        <f t="shared" si="6"/>
        <v>2</v>
      </c>
      <c r="I40" s="243">
        <f>'Epi-Curve Model'!E78</f>
        <v>5.1288484484605101E-3</v>
      </c>
      <c r="J40" s="78" t="e">
        <f ca="1">'Epi-Curve Model'!G78</f>
        <v>#N/A</v>
      </c>
      <c r="K40" s="78" t="e">
        <f ca="1">'Epi-Curve Model'!F78</f>
        <v>#N/A</v>
      </c>
      <c r="L40" s="227">
        <f t="shared" si="7"/>
        <v>0.70779661016949158</v>
      </c>
      <c r="M40" s="235">
        <f t="shared" si="4"/>
        <v>0</v>
      </c>
      <c r="N40" s="235">
        <f t="shared" si="8"/>
        <v>0</v>
      </c>
      <c r="O40" s="78" t="str">
        <f>IF(OR(PEP_Decisions!$E$40="",PEP_Decisions!$E$6="",PEP_Decisions!$E$15="",PEP_Decisions!$E$24="",PEP_Decisions!$E$38="No",PEP_Decisions!$E$38="",)," ",IF(K40&gt;0,K40,IF(H40&gt;0,IF(J40*(1-($D$14*L40*N40/$H$9))&lt;0,0,(J40*(1-($D$14*L40*N40/$H$9)))),J40)))</f>
        <v xml:space="preserve"> </v>
      </c>
      <c r="P40" s="78" t="e">
        <f t="shared" ca="1" si="5"/>
        <v>#VALUE!</v>
      </c>
      <c r="Q40" s="78" t="e">
        <f ca="1">'Epi-Curve Model'!I78</f>
        <v>#N/A</v>
      </c>
      <c r="R40" s="247" t="e">
        <f t="shared" si="9"/>
        <v>#VALUE!</v>
      </c>
      <c r="S40" s="247" t="e">
        <f ca="1">'Epi-Curve Model'!J78</f>
        <v>#N/A</v>
      </c>
      <c r="T40" s="78" t="e">
        <f ca="1">'Epi-Curve Model'!K78</f>
        <v>#N/A</v>
      </c>
    </row>
    <row r="41" spans="2:20" x14ac:dyDescent="0.25">
      <c r="B41" s="104">
        <f t="shared" si="10"/>
        <v>22</v>
      </c>
      <c r="C41" s="94">
        <v>23</v>
      </c>
      <c r="D41" s="96" t="str">
        <f t="shared" si="0"/>
        <v/>
      </c>
      <c r="E41" s="96">
        <f t="shared" si="1"/>
        <v>0</v>
      </c>
      <c r="F41" s="96">
        <f t="shared" si="2"/>
        <v>1</v>
      </c>
      <c r="G41" s="96">
        <f t="shared" si="3"/>
        <v>0</v>
      </c>
      <c r="H41" s="96">
        <f t="shared" si="6"/>
        <v>2</v>
      </c>
      <c r="I41" s="243">
        <f>'Epi-Curve Model'!E79</f>
        <v>4.2382559184572788E-3</v>
      </c>
      <c r="J41" s="78" t="e">
        <f ca="1">'Epi-Curve Model'!G79</f>
        <v>#N/A</v>
      </c>
      <c r="K41" s="78" t="e">
        <f ca="1">'Epi-Curve Model'!F79</f>
        <v>#N/A</v>
      </c>
      <c r="L41" s="227">
        <f t="shared" si="7"/>
        <v>0.69864406779661015</v>
      </c>
      <c r="M41" s="235">
        <f t="shared" si="4"/>
        <v>0</v>
      </c>
      <c r="N41" s="235">
        <f t="shared" si="8"/>
        <v>0</v>
      </c>
      <c r="O41" s="78" t="str">
        <f>IF(OR(PEP_Decisions!$E$40="",PEP_Decisions!$E$6="",PEP_Decisions!$E$15="",PEP_Decisions!$E$24="",PEP_Decisions!$E$38="No",PEP_Decisions!$E$38="",)," ",IF(K41&gt;0,K41,IF(H41&gt;0,IF(J41*(1-($D$14*L41*N41/$H$9))&lt;0,0,(J41*(1-($D$14*L41*N41/$H$9)))),J41)))</f>
        <v xml:space="preserve"> </v>
      </c>
      <c r="P41" s="78" t="e">
        <f t="shared" ca="1" si="5"/>
        <v>#VALUE!</v>
      </c>
      <c r="Q41" s="78" t="e">
        <f ca="1">'Epi-Curve Model'!I79</f>
        <v>#N/A</v>
      </c>
      <c r="R41" s="247" t="e">
        <f t="shared" si="9"/>
        <v>#VALUE!</v>
      </c>
      <c r="S41" s="247" t="e">
        <f ca="1">'Epi-Curve Model'!J79</f>
        <v>#N/A</v>
      </c>
      <c r="T41" s="78" t="e">
        <f ca="1">'Epi-Curve Model'!K79</f>
        <v>#N/A</v>
      </c>
    </row>
    <row r="42" spans="2:20" x14ac:dyDescent="0.25">
      <c r="B42" s="104">
        <f t="shared" si="10"/>
        <v>23</v>
      </c>
      <c r="C42" s="94">
        <v>24</v>
      </c>
      <c r="D42" s="96" t="str">
        <f t="shared" si="0"/>
        <v/>
      </c>
      <c r="E42" s="96">
        <f t="shared" si="1"/>
        <v>0</v>
      </c>
      <c r="F42" s="96">
        <f t="shared" si="2"/>
        <v>1</v>
      </c>
      <c r="G42" s="96">
        <f t="shared" si="3"/>
        <v>0</v>
      </c>
      <c r="H42" s="96">
        <f t="shared" si="6"/>
        <v>2</v>
      </c>
      <c r="I42" s="243">
        <f>'Epi-Curve Model'!E80</f>
        <v>3.5128246522627693E-3</v>
      </c>
      <c r="J42" s="78" t="e">
        <f ca="1">'Epi-Curve Model'!G80</f>
        <v>#N/A</v>
      </c>
      <c r="K42" s="78" t="e">
        <f ca="1">'Epi-Curve Model'!F80</f>
        <v>#N/A</v>
      </c>
      <c r="L42" s="227">
        <f t="shared" si="7"/>
        <v>0.68949152542372882</v>
      </c>
      <c r="M42" s="235">
        <f t="shared" si="4"/>
        <v>0</v>
      </c>
      <c r="N42" s="235">
        <f t="shared" si="8"/>
        <v>0</v>
      </c>
      <c r="O42" s="78" t="str">
        <f>IF(OR(PEP_Decisions!$E$40="",PEP_Decisions!$E$6="",PEP_Decisions!$E$15="",PEP_Decisions!$E$24="",PEP_Decisions!$E$38="No",PEP_Decisions!$E$38="",)," ",IF(K42&gt;0,K42,IF(H42&gt;0,IF(J42*(1-($D$14*L42*N42/$H$9))&lt;0,0,(J42*(1-($D$14*L42*N42/$H$9)))),J42)))</f>
        <v xml:space="preserve"> </v>
      </c>
      <c r="P42" s="78" t="e">
        <f t="shared" ca="1" si="5"/>
        <v>#VALUE!</v>
      </c>
      <c r="Q42" s="78" t="e">
        <f ca="1">'Epi-Curve Model'!I80</f>
        <v>#N/A</v>
      </c>
      <c r="R42" s="247" t="e">
        <f t="shared" si="9"/>
        <v>#VALUE!</v>
      </c>
      <c r="S42" s="247" t="e">
        <f ca="1">'Epi-Curve Model'!J80</f>
        <v>#N/A</v>
      </c>
      <c r="T42" s="78" t="e">
        <f ca="1">'Epi-Curve Model'!K80</f>
        <v>#N/A</v>
      </c>
    </row>
    <row r="43" spans="2:20" x14ac:dyDescent="0.25">
      <c r="B43" s="104">
        <f t="shared" si="10"/>
        <v>24</v>
      </c>
      <c r="C43" s="94">
        <v>25</v>
      </c>
      <c r="D43" s="96" t="str">
        <f t="shared" si="0"/>
        <v/>
      </c>
      <c r="E43" s="96">
        <f t="shared" si="1"/>
        <v>0</v>
      </c>
      <c r="F43" s="96">
        <f t="shared" si="2"/>
        <v>1</v>
      </c>
      <c r="G43" s="96">
        <f t="shared" si="3"/>
        <v>0</v>
      </c>
      <c r="H43" s="96">
        <f t="shared" si="6"/>
        <v>2</v>
      </c>
      <c r="I43" s="243">
        <f>'Epi-Curve Model'!E81</f>
        <v>2.9202045833235379E-3</v>
      </c>
      <c r="J43" s="78" t="e">
        <f ca="1">'Epi-Curve Model'!G81</f>
        <v>#N/A</v>
      </c>
      <c r="K43" s="78" t="e">
        <f ca="1">'Epi-Curve Model'!F81</f>
        <v>#N/A</v>
      </c>
      <c r="L43" s="227">
        <f t="shared" si="7"/>
        <v>0.6803389830508475</v>
      </c>
      <c r="M43" s="235">
        <f t="shared" si="4"/>
        <v>0</v>
      </c>
      <c r="N43" s="235">
        <f t="shared" si="8"/>
        <v>0</v>
      </c>
      <c r="O43" s="78" t="str">
        <f>IF(OR(PEP_Decisions!$E$40="",PEP_Decisions!$E$6="",PEP_Decisions!$E$15="",PEP_Decisions!$E$24="",PEP_Decisions!$E$38="No",PEP_Decisions!$E$38="",)," ",IF(K43&gt;0,K43,IF(H43&gt;0,IF(J43*(1-($D$14*L43*N43/$H$9))&lt;0,0,(J43*(1-($D$14*L43*N43/$H$9)))),J43)))</f>
        <v xml:space="preserve"> </v>
      </c>
      <c r="P43" s="78" t="e">
        <f t="shared" ca="1" si="5"/>
        <v>#VALUE!</v>
      </c>
      <c r="Q43" s="78" t="e">
        <f ca="1">'Epi-Curve Model'!I81</f>
        <v>#N/A</v>
      </c>
      <c r="R43" s="247" t="e">
        <f t="shared" si="9"/>
        <v>#VALUE!</v>
      </c>
      <c r="S43" s="247" t="e">
        <f ca="1">'Epi-Curve Model'!J81</f>
        <v>#N/A</v>
      </c>
      <c r="T43" s="78" t="e">
        <f ca="1">'Epi-Curve Model'!K81</f>
        <v>#N/A</v>
      </c>
    </row>
    <row r="44" spans="2:20" x14ac:dyDescent="0.25">
      <c r="B44" s="104">
        <f t="shared" si="10"/>
        <v>25</v>
      </c>
      <c r="C44" s="94">
        <v>26</v>
      </c>
      <c r="D44" s="96" t="str">
        <f t="shared" si="0"/>
        <v/>
      </c>
      <c r="E44" s="96">
        <f t="shared" si="1"/>
        <v>0</v>
      </c>
      <c r="F44" s="96">
        <f t="shared" si="2"/>
        <v>1</v>
      </c>
      <c r="G44" s="96">
        <f t="shared" si="3"/>
        <v>0</v>
      </c>
      <c r="H44" s="96">
        <f t="shared" si="6"/>
        <v>2</v>
      </c>
      <c r="I44" s="243">
        <f>'Epi-Curve Model'!E82</f>
        <v>2.4346551682035145E-3</v>
      </c>
      <c r="J44" s="78" t="e">
        <f ca="1">'Epi-Curve Model'!G82</f>
        <v>#N/A</v>
      </c>
      <c r="K44" s="78" t="e">
        <f ca="1">'Epi-Curve Model'!F82</f>
        <v>#N/A</v>
      </c>
      <c r="L44" s="227">
        <f t="shared" si="7"/>
        <v>0.67118644067796618</v>
      </c>
      <c r="M44" s="235">
        <f t="shared" si="4"/>
        <v>0</v>
      </c>
      <c r="N44" s="235">
        <f t="shared" si="8"/>
        <v>0</v>
      </c>
      <c r="O44" s="78" t="str">
        <f>IF(OR(PEP_Decisions!$E$40="",PEP_Decisions!$E$6="",PEP_Decisions!$E$15="",PEP_Decisions!$E$24="",PEP_Decisions!$E$38="No",PEP_Decisions!$E$38="",)," ",IF(K44&gt;0,K44,IF(H44&gt;0,IF(J44*(1-($D$14*L44*N44/$H$9))&lt;0,0,(J44*(1-($D$14*L44*N44/$H$9)))),J44)))</f>
        <v xml:space="preserve"> </v>
      </c>
      <c r="P44" s="78" t="e">
        <f t="shared" ca="1" si="5"/>
        <v>#VALUE!</v>
      </c>
      <c r="Q44" s="78" t="e">
        <f ca="1">'Epi-Curve Model'!I82</f>
        <v>#N/A</v>
      </c>
      <c r="R44" s="247" t="e">
        <f t="shared" si="9"/>
        <v>#VALUE!</v>
      </c>
      <c r="S44" s="247" t="e">
        <f ca="1">'Epi-Curve Model'!J82</f>
        <v>#N/A</v>
      </c>
      <c r="T44" s="78" t="e">
        <f ca="1">'Epi-Curve Model'!K82</f>
        <v>#N/A</v>
      </c>
    </row>
    <row r="45" spans="2:20" x14ac:dyDescent="0.25">
      <c r="B45" s="104">
        <f t="shared" si="10"/>
        <v>26</v>
      </c>
      <c r="C45" s="94">
        <v>27</v>
      </c>
      <c r="D45" s="96" t="str">
        <f t="shared" si="0"/>
        <v/>
      </c>
      <c r="E45" s="96">
        <f t="shared" si="1"/>
        <v>0</v>
      </c>
      <c r="F45" s="96">
        <f t="shared" si="2"/>
        <v>1</v>
      </c>
      <c r="G45" s="96">
        <f t="shared" si="3"/>
        <v>0</v>
      </c>
      <c r="H45" s="96">
        <f t="shared" si="6"/>
        <v>2</v>
      </c>
      <c r="I45" s="243">
        <f>'Epi-Curve Model'!E83</f>
        <v>2.0356585061028776E-3</v>
      </c>
      <c r="J45" s="78" t="e">
        <f ca="1">'Epi-Curve Model'!G83</f>
        <v>#N/A</v>
      </c>
      <c r="K45" s="78" t="e">
        <f ca="1">'Epi-Curve Model'!F83</f>
        <v>#N/A</v>
      </c>
      <c r="L45" s="227">
        <f t="shared" si="7"/>
        <v>0.66203389830508474</v>
      </c>
      <c r="M45" s="235">
        <f t="shared" si="4"/>
        <v>0</v>
      </c>
      <c r="N45" s="235">
        <f t="shared" si="8"/>
        <v>0</v>
      </c>
      <c r="O45" s="78" t="str">
        <f>IF(OR(PEP_Decisions!$E$40="",PEP_Decisions!$E$6="",PEP_Decisions!$E$15="",PEP_Decisions!$E$24="",PEP_Decisions!$E$38="No",PEP_Decisions!$E$38="",)," ",IF(K45&gt;0,K45,IF(H45&gt;0,IF(J45*(1-($D$14*L45*N45/$H$9))&lt;0,0,(J45*(1-($D$14*L45*N45/$H$9)))),J45)))</f>
        <v xml:space="preserve"> </v>
      </c>
      <c r="P45" s="78" t="e">
        <f t="shared" ca="1" si="5"/>
        <v>#VALUE!</v>
      </c>
      <c r="Q45" s="78" t="e">
        <f ca="1">'Epi-Curve Model'!I83</f>
        <v>#N/A</v>
      </c>
      <c r="R45" s="247" t="e">
        <f t="shared" si="9"/>
        <v>#VALUE!</v>
      </c>
      <c r="S45" s="247" t="e">
        <f ca="1">'Epi-Curve Model'!J83</f>
        <v>#N/A</v>
      </c>
      <c r="T45" s="78" t="e">
        <f ca="1">'Epi-Curve Model'!K83</f>
        <v>#N/A</v>
      </c>
    </row>
    <row r="46" spans="2:20" x14ac:dyDescent="0.25">
      <c r="B46" s="104">
        <f t="shared" si="10"/>
        <v>27</v>
      </c>
      <c r="C46" s="94">
        <v>28</v>
      </c>
      <c r="D46" s="96" t="str">
        <f t="shared" si="0"/>
        <v/>
      </c>
      <c r="E46" s="96">
        <f t="shared" si="1"/>
        <v>0</v>
      </c>
      <c r="F46" s="96">
        <f t="shared" si="2"/>
        <v>1</v>
      </c>
      <c r="G46" s="96">
        <f t="shared" si="3"/>
        <v>0</v>
      </c>
      <c r="H46" s="96">
        <f t="shared" si="6"/>
        <v>2</v>
      </c>
      <c r="I46" s="243">
        <f>'Epi-Curve Model'!E84</f>
        <v>1.7068246556123379E-3</v>
      </c>
      <c r="J46" s="78" t="e">
        <f ca="1">'Epi-Curve Model'!G84</f>
        <v>#N/A</v>
      </c>
      <c r="K46" s="78" t="e">
        <f ca="1">'Epi-Curve Model'!F84</f>
        <v>#N/A</v>
      </c>
      <c r="L46" s="227">
        <f t="shared" si="7"/>
        <v>0.65288135593220342</v>
      </c>
      <c r="M46" s="235">
        <f t="shared" si="4"/>
        <v>0</v>
      </c>
      <c r="N46" s="235">
        <f t="shared" si="8"/>
        <v>0</v>
      </c>
      <c r="O46" s="78" t="str">
        <f>IF(OR(PEP_Decisions!$E$40="",PEP_Decisions!$E$6="",PEP_Decisions!$E$15="",PEP_Decisions!$E$24="",PEP_Decisions!$E$38="No",PEP_Decisions!$E$38="",)," ",IF(K46&gt;0,K46,IF(H46&gt;0,IF(J46*(1-($D$14*L46*N46/$H$9))&lt;0,0,(J46*(1-($D$14*L46*N46/$H$9)))),J46)))</f>
        <v xml:space="preserve"> </v>
      </c>
      <c r="P46" s="78" t="e">
        <f t="shared" ca="1" si="5"/>
        <v>#VALUE!</v>
      </c>
      <c r="Q46" s="78" t="e">
        <f ca="1">'Epi-Curve Model'!I84</f>
        <v>#N/A</v>
      </c>
      <c r="R46" s="247" t="e">
        <f t="shared" si="9"/>
        <v>#VALUE!</v>
      </c>
      <c r="S46" s="247" t="e">
        <f ca="1">'Epi-Curve Model'!J84</f>
        <v>#N/A</v>
      </c>
      <c r="T46" s="78" t="e">
        <f ca="1">'Epi-Curve Model'!K84</f>
        <v>#N/A</v>
      </c>
    </row>
    <row r="47" spans="2:20" x14ac:dyDescent="0.25">
      <c r="B47" s="104">
        <f t="shared" si="10"/>
        <v>28</v>
      </c>
      <c r="C47" s="94">
        <v>29</v>
      </c>
      <c r="D47" s="96" t="str">
        <f t="shared" si="0"/>
        <v/>
      </c>
      <c r="E47" s="96">
        <f t="shared" si="1"/>
        <v>0</v>
      </c>
      <c r="F47" s="96">
        <f t="shared" si="2"/>
        <v>1</v>
      </c>
      <c r="G47" s="96">
        <f t="shared" si="3"/>
        <v>0</v>
      </c>
      <c r="H47" s="96">
        <f t="shared" si="6"/>
        <v>2</v>
      </c>
      <c r="I47" s="243">
        <f>'Epi-Curve Model'!E85</f>
        <v>1.4350297757761421E-3</v>
      </c>
      <c r="J47" s="78" t="e">
        <f ca="1">'Epi-Curve Model'!G85</f>
        <v>#N/A</v>
      </c>
      <c r="K47" s="78" t="e">
        <f ca="1">'Epi-Curve Model'!F85</f>
        <v>#N/A</v>
      </c>
      <c r="L47" s="227">
        <f t="shared" si="7"/>
        <v>0.6437288135593221</v>
      </c>
      <c r="M47" s="235">
        <f t="shared" si="4"/>
        <v>0</v>
      </c>
      <c r="N47" s="235">
        <f t="shared" si="8"/>
        <v>0</v>
      </c>
      <c r="O47" s="78" t="str">
        <f>IF(OR(PEP_Decisions!$E$40="",PEP_Decisions!$E$6="",PEP_Decisions!$E$15="",PEP_Decisions!$E$24="",PEP_Decisions!$E$38="No",PEP_Decisions!$E$38="",)," ",IF(K47&gt;0,K47,IF(H47&gt;0,IF(J47*(1-($D$14*L47*N47/$H$9))&lt;0,0,(J47*(1-($D$14*L47*N47/$H$9)))),J47)))</f>
        <v xml:space="preserve"> </v>
      </c>
      <c r="P47" s="78" t="e">
        <f t="shared" ca="1" si="5"/>
        <v>#VALUE!</v>
      </c>
      <c r="Q47" s="78" t="e">
        <f ca="1">'Epi-Curve Model'!I85</f>
        <v>#N/A</v>
      </c>
      <c r="R47" s="247" t="e">
        <f t="shared" si="9"/>
        <v>#VALUE!</v>
      </c>
      <c r="S47" s="247" t="e">
        <f ca="1">'Epi-Curve Model'!J85</f>
        <v>#N/A</v>
      </c>
      <c r="T47" s="78" t="e">
        <f ca="1">'Epi-Curve Model'!K85</f>
        <v>#N/A</v>
      </c>
    </row>
    <row r="48" spans="2:20" x14ac:dyDescent="0.25">
      <c r="B48" s="104">
        <f t="shared" si="10"/>
        <v>29</v>
      </c>
      <c r="C48" s="94">
        <v>30</v>
      </c>
      <c r="D48" s="96" t="str">
        <f t="shared" si="0"/>
        <v/>
      </c>
      <c r="E48" s="96">
        <f t="shared" si="1"/>
        <v>0</v>
      </c>
      <c r="F48" s="96">
        <f t="shared" si="2"/>
        <v>1</v>
      </c>
      <c r="G48" s="96">
        <f t="shared" si="3"/>
        <v>0</v>
      </c>
      <c r="H48" s="96">
        <f t="shared" si="6"/>
        <v>2</v>
      </c>
      <c r="I48" s="243">
        <f>'Epi-Curve Model'!E86</f>
        <v>1.2097382711654392E-3</v>
      </c>
      <c r="J48" s="78" t="e">
        <f ca="1">'Epi-Curve Model'!G86</f>
        <v>#N/A</v>
      </c>
      <c r="K48" s="78" t="e">
        <f ca="1">'Epi-Curve Model'!F86</f>
        <v>#N/A</v>
      </c>
      <c r="L48" s="227">
        <f t="shared" si="7"/>
        <v>0.63457627118644067</v>
      </c>
      <c r="M48" s="235">
        <f t="shared" si="4"/>
        <v>0</v>
      </c>
      <c r="N48" s="235">
        <f t="shared" si="8"/>
        <v>0</v>
      </c>
      <c r="O48" s="78" t="str">
        <f>IF(OR(PEP_Decisions!$E$40="",PEP_Decisions!$E$6="",PEP_Decisions!$E$15="",PEP_Decisions!$E$24="",PEP_Decisions!$E$38="No",PEP_Decisions!$E$38="",)," ",IF(K48&gt;0,K48,IF(H48&gt;0,IF(J48*(1-($D$14*L48*N48/$H$9))&lt;0,0,(J48*(1-($D$14*L48*N48/$H$9)))),J48)))</f>
        <v xml:space="preserve"> </v>
      </c>
      <c r="P48" s="78" t="e">
        <f t="shared" ca="1" si="5"/>
        <v>#VALUE!</v>
      </c>
      <c r="Q48" s="78" t="e">
        <f ca="1">'Epi-Curve Model'!I86</f>
        <v>#N/A</v>
      </c>
      <c r="R48" s="247" t="e">
        <f t="shared" si="9"/>
        <v>#VALUE!</v>
      </c>
      <c r="S48" s="247" t="e">
        <f ca="1">'Epi-Curve Model'!J86</f>
        <v>#N/A</v>
      </c>
      <c r="T48" s="78" t="e">
        <f ca="1">'Epi-Curve Model'!K86</f>
        <v>#N/A</v>
      </c>
    </row>
    <row r="49" spans="2:20" x14ac:dyDescent="0.25">
      <c r="B49" s="104">
        <f t="shared" si="10"/>
        <v>30</v>
      </c>
      <c r="C49" s="94">
        <v>31</v>
      </c>
      <c r="D49" s="96" t="str">
        <f t="shared" si="0"/>
        <v/>
      </c>
      <c r="E49" s="96">
        <f t="shared" si="1"/>
        <v>0</v>
      </c>
      <c r="F49" s="96">
        <f t="shared" si="2"/>
        <v>1</v>
      </c>
      <c r="G49" s="96">
        <f t="shared" si="3"/>
        <v>0</v>
      </c>
      <c r="H49" s="96">
        <f t="shared" si="6"/>
        <v>2</v>
      </c>
      <c r="I49" s="243">
        <f>'Epi-Curve Model'!E87</f>
        <v>1.0224696350602525E-3</v>
      </c>
      <c r="J49" s="78" t="e">
        <f ca="1">'Epi-Curve Model'!G87</f>
        <v>#N/A</v>
      </c>
      <c r="K49" s="78" t="e">
        <f ca="1">'Epi-Curve Model'!F87</f>
        <v>#N/A</v>
      </c>
      <c r="L49" s="227">
        <f t="shared" si="7"/>
        <v>0.62542372881355934</v>
      </c>
      <c r="M49" s="235">
        <f t="shared" si="4"/>
        <v>0</v>
      </c>
      <c r="N49" s="235">
        <f t="shared" si="8"/>
        <v>0</v>
      </c>
      <c r="O49" s="78" t="str">
        <f>IF(OR(PEP_Decisions!$E$40="",PEP_Decisions!$E$6="",PEP_Decisions!$E$15="",PEP_Decisions!$E$24="",PEP_Decisions!$E$38="No",PEP_Decisions!$E$38="",)," ",IF(K49&gt;0,K49,IF(H49&gt;0,IF(J49*(1-($D$14*L49*N49/$H$9))&lt;0,0,(J49*(1-($D$14*L49*N49/$H$9)))),J49)))</f>
        <v xml:space="preserve"> </v>
      </c>
      <c r="P49" s="78" t="e">
        <f t="shared" ca="1" si="5"/>
        <v>#VALUE!</v>
      </c>
      <c r="Q49" s="78" t="e">
        <f ca="1">'Epi-Curve Model'!I87</f>
        <v>#N/A</v>
      </c>
      <c r="R49" s="247" t="e">
        <f t="shared" si="9"/>
        <v>#VALUE!</v>
      </c>
      <c r="S49" s="247" t="e">
        <f ca="1">'Epi-Curve Model'!J87</f>
        <v>#N/A</v>
      </c>
      <c r="T49" s="78" t="e">
        <f ca="1">'Epi-Curve Model'!K87</f>
        <v>#N/A</v>
      </c>
    </row>
    <row r="50" spans="2:20" x14ac:dyDescent="0.25">
      <c r="B50" s="104">
        <f t="shared" si="10"/>
        <v>31</v>
      </c>
      <c r="C50" s="94">
        <v>32</v>
      </c>
      <c r="D50" s="96" t="str">
        <f t="shared" si="0"/>
        <v/>
      </c>
      <c r="E50" s="96">
        <f t="shared" si="1"/>
        <v>0</v>
      </c>
      <c r="F50" s="96">
        <f t="shared" si="2"/>
        <v>1</v>
      </c>
      <c r="G50" s="96">
        <f t="shared" si="3"/>
        <v>0</v>
      </c>
      <c r="H50" s="96">
        <f t="shared" si="6"/>
        <v>2</v>
      </c>
      <c r="I50" s="243">
        <f>'Epi-Curve Model'!E88</f>
        <v>8.6637876265216462E-4</v>
      </c>
      <c r="J50" s="78" t="e">
        <f ca="1">'Epi-Curve Model'!G88</f>
        <v>#N/A</v>
      </c>
      <c r="K50" s="78" t="e">
        <f ca="1">'Epi-Curve Model'!F88</f>
        <v>#N/A</v>
      </c>
      <c r="L50" s="227">
        <f t="shared" si="7"/>
        <v>0.61627118644067802</v>
      </c>
      <c r="M50" s="235">
        <f t="shared" si="4"/>
        <v>0</v>
      </c>
      <c r="N50" s="235">
        <f t="shared" si="8"/>
        <v>0</v>
      </c>
      <c r="O50" s="78" t="str">
        <f>IF(OR(PEP_Decisions!$E$40="",PEP_Decisions!$E$6="",PEP_Decisions!$E$15="",PEP_Decisions!$E$24="",PEP_Decisions!$E$38="No",PEP_Decisions!$E$38="",)," ",IF(K50&gt;0,K50,IF(H50&gt;0,IF(J50*(1-($D$14*L50*N50/$H$9))&lt;0,0,(J50*(1-($D$14*L50*N50/$H$9)))),J50)))</f>
        <v xml:space="preserve"> </v>
      </c>
      <c r="P50" s="78" t="e">
        <f t="shared" ca="1" si="5"/>
        <v>#VALUE!</v>
      </c>
      <c r="Q50" s="78" t="e">
        <f ca="1">'Epi-Curve Model'!I88</f>
        <v>#N/A</v>
      </c>
      <c r="R50" s="247" t="e">
        <f t="shared" si="9"/>
        <v>#VALUE!</v>
      </c>
      <c r="S50" s="247" t="e">
        <f ca="1">'Epi-Curve Model'!J88</f>
        <v>#N/A</v>
      </c>
      <c r="T50" s="78" t="e">
        <f ca="1">'Epi-Curve Model'!K88</f>
        <v>#N/A</v>
      </c>
    </row>
    <row r="51" spans="2:20" x14ac:dyDescent="0.25">
      <c r="B51" s="104">
        <f t="shared" si="10"/>
        <v>32</v>
      </c>
      <c r="C51" s="94">
        <v>33</v>
      </c>
      <c r="D51" s="96" t="str">
        <f t="shared" ref="D51:D78" si="11">IF(B51=$D$18,1,"")</f>
        <v/>
      </c>
      <c r="E51" s="96">
        <f t="shared" ref="E51:E78" si="12">IF(B51=$E$18,1,0)</f>
        <v>0</v>
      </c>
      <c r="F51" s="96">
        <f t="shared" ref="F51:F78" si="13">IF(B51=$F$18,1,IF(F50=1,1,0))</f>
        <v>1</v>
      </c>
      <c r="G51" s="96">
        <f t="shared" ref="G51:G78" si="14">IF(D51=1,IF($H$7=0,$D$8,$H$7),0)</f>
        <v>0</v>
      </c>
      <c r="H51" s="96">
        <f t="shared" si="6"/>
        <v>2</v>
      </c>
      <c r="I51" s="243">
        <f>'Epi-Curve Model'!E89</f>
        <v>7.3592513205167354E-4</v>
      </c>
      <c r="J51" s="78" t="e">
        <f ca="1">'Epi-Curve Model'!G89</f>
        <v>#N/A</v>
      </c>
      <c r="K51" s="78" t="e">
        <f ca="1">'Epi-Curve Model'!F89</f>
        <v>#N/A</v>
      </c>
      <c r="L51" s="227">
        <f t="shared" ref="L51:L78" si="15">IF(H51=0,"",($D$12*(1-($H$11*(B51-$D$10)))))</f>
        <v>0.6071186440677967</v>
      </c>
      <c r="M51" s="235">
        <f t="shared" ref="M51:M78" si="16">IF(F51=1,0,H51*$H$13)</f>
        <v>0</v>
      </c>
      <c r="N51" s="235">
        <f t="shared" si="8"/>
        <v>0</v>
      </c>
      <c r="O51" s="78" t="str">
        <f>IF(OR(PEP_Decisions!$E$40="",PEP_Decisions!$E$6="",PEP_Decisions!$E$15="",PEP_Decisions!$E$24="",PEP_Decisions!$E$38="No",PEP_Decisions!$E$38="",)," ",IF(K51&gt;0,K51,IF(H51&gt;0,IF(J51*(1-($D$14*L51*N51/$H$9))&lt;0,0,(J51*(1-($D$14*L51*N51/$H$9)))),J51)))</f>
        <v xml:space="preserve"> </v>
      </c>
      <c r="P51" s="78" t="e">
        <f t="shared" ref="P51:P78" ca="1" si="17">IF(O51&lt;0.5,-J51,O51-J51)</f>
        <v>#VALUE!</v>
      </c>
      <c r="Q51" s="78" t="e">
        <f ca="1">'Epi-Curve Model'!I89</f>
        <v>#N/A</v>
      </c>
      <c r="R51" s="247" t="e">
        <f t="shared" si="9"/>
        <v>#VALUE!</v>
      </c>
      <c r="S51" s="247" t="e">
        <f ca="1">'Epi-Curve Model'!J89</f>
        <v>#N/A</v>
      </c>
      <c r="T51" s="78" t="e">
        <f ca="1">'Epi-Curve Model'!K89</f>
        <v>#N/A</v>
      </c>
    </row>
    <row r="52" spans="2:20" x14ac:dyDescent="0.25">
      <c r="B52" s="104">
        <f t="shared" si="10"/>
        <v>33</v>
      </c>
      <c r="C52" s="94">
        <v>34</v>
      </c>
      <c r="D52" s="96" t="str">
        <f t="shared" si="11"/>
        <v/>
      </c>
      <c r="E52" s="96">
        <f t="shared" si="12"/>
        <v>0</v>
      </c>
      <c r="F52" s="96">
        <f t="shared" si="13"/>
        <v>1</v>
      </c>
      <c r="G52" s="96">
        <f t="shared" si="14"/>
        <v>0</v>
      </c>
      <c r="H52" s="96">
        <f t="shared" si="6"/>
        <v>2</v>
      </c>
      <c r="I52" s="243">
        <f>'Epi-Curve Model'!E90</f>
        <v>6.2661157194143779E-4</v>
      </c>
      <c r="J52" s="78" t="e">
        <f ca="1">'Epi-Curve Model'!G90</f>
        <v>#N/A</v>
      </c>
      <c r="K52" s="78" t="e">
        <f ca="1">'Epi-Curve Model'!F90</f>
        <v>#N/A</v>
      </c>
      <c r="L52" s="227">
        <f t="shared" si="15"/>
        <v>0.59796610169491526</v>
      </c>
      <c r="M52" s="235">
        <f t="shared" si="16"/>
        <v>0</v>
      </c>
      <c r="N52" s="235">
        <f t="shared" ref="N52:N78" si="18">IF(N51+M52&gt;$H$9,$H$9,N51+M52)</f>
        <v>0</v>
      </c>
      <c r="O52" s="78" t="str">
        <f>IF(OR(PEP_Decisions!$E$40="",PEP_Decisions!$E$6="",PEP_Decisions!$E$15="",PEP_Decisions!$E$24="",PEP_Decisions!$E$38="No",PEP_Decisions!$E$38="",)," ",IF(K52&gt;0,K52,IF(H52&gt;0,IF(J52*(1-($D$14*L52*N52/$H$9))&lt;0,0,(J52*(1-($D$14*L52*N52/$H$9)))),J52)))</f>
        <v xml:space="preserve"> </v>
      </c>
      <c r="P52" s="78" t="e">
        <f t="shared" ca="1" si="17"/>
        <v>#VALUE!</v>
      </c>
      <c r="Q52" s="78" t="e">
        <f ca="1">'Epi-Curve Model'!I90</f>
        <v>#N/A</v>
      </c>
      <c r="R52" s="247" t="e">
        <f t="shared" ref="R52:R78" si="19">R51+O52</f>
        <v>#VALUE!</v>
      </c>
      <c r="S52" s="247" t="e">
        <f ca="1">'Epi-Curve Model'!J90</f>
        <v>#N/A</v>
      </c>
      <c r="T52" s="78" t="e">
        <f ca="1">'Epi-Curve Model'!K90</f>
        <v>#N/A</v>
      </c>
    </row>
    <row r="53" spans="2:20" x14ac:dyDescent="0.25">
      <c r="B53" s="104">
        <f t="shared" si="10"/>
        <v>34</v>
      </c>
      <c r="C53" s="94">
        <v>35</v>
      </c>
      <c r="D53" s="96" t="str">
        <f t="shared" si="11"/>
        <v/>
      </c>
      <c r="E53" s="96">
        <f t="shared" si="12"/>
        <v>0</v>
      </c>
      <c r="F53" s="96">
        <f t="shared" si="13"/>
        <v>1</v>
      </c>
      <c r="G53" s="96">
        <f t="shared" si="14"/>
        <v>0</v>
      </c>
      <c r="H53" s="96">
        <f t="shared" si="6"/>
        <v>2</v>
      </c>
      <c r="I53" s="243">
        <f>'Epi-Curve Model'!E91</f>
        <v>5.3477755081066114E-4</v>
      </c>
      <c r="J53" s="78" t="e">
        <f ca="1">'Epi-Curve Model'!G91</f>
        <v>#N/A</v>
      </c>
      <c r="K53" s="78" t="e">
        <f ca="1">'Epi-Curve Model'!F91</f>
        <v>#N/A</v>
      </c>
      <c r="L53" s="227">
        <f t="shared" si="15"/>
        <v>0.58881355932203394</v>
      </c>
      <c r="M53" s="235">
        <f t="shared" si="16"/>
        <v>0</v>
      </c>
      <c r="N53" s="235">
        <f t="shared" si="18"/>
        <v>0</v>
      </c>
      <c r="O53" s="78" t="str">
        <f>IF(OR(PEP_Decisions!$E$40="",PEP_Decisions!$E$6="",PEP_Decisions!$E$15="",PEP_Decisions!$E$24="",PEP_Decisions!$E$38="No",PEP_Decisions!$E$38="",)," ",IF(K53&gt;0,K53,IF(H53&gt;0,IF(J53*(1-($D$14*L53*N53/$H$9))&lt;0,0,(J53*(1-($D$14*L53*N53/$H$9)))),J53)))</f>
        <v xml:space="preserve"> </v>
      </c>
      <c r="P53" s="78" t="e">
        <f t="shared" ca="1" si="17"/>
        <v>#VALUE!</v>
      </c>
      <c r="Q53" s="78" t="e">
        <f ca="1">'Epi-Curve Model'!I91</f>
        <v>#N/A</v>
      </c>
      <c r="R53" s="247" t="e">
        <f t="shared" si="19"/>
        <v>#VALUE!</v>
      </c>
      <c r="S53" s="247" t="e">
        <f ca="1">'Epi-Curve Model'!J91</f>
        <v>#N/A</v>
      </c>
      <c r="T53" s="78" t="e">
        <f ca="1">'Epi-Curve Model'!K91</f>
        <v>#N/A</v>
      </c>
    </row>
    <row r="54" spans="2:20" x14ac:dyDescent="0.25">
      <c r="B54" s="104">
        <f t="shared" si="10"/>
        <v>35</v>
      </c>
      <c r="C54" s="94">
        <v>36</v>
      </c>
      <c r="D54" s="96" t="str">
        <f t="shared" si="11"/>
        <v/>
      </c>
      <c r="E54" s="96">
        <f t="shared" si="12"/>
        <v>0</v>
      </c>
      <c r="F54" s="96">
        <f t="shared" si="13"/>
        <v>1</v>
      </c>
      <c r="G54" s="96">
        <f t="shared" si="14"/>
        <v>0</v>
      </c>
      <c r="H54" s="96">
        <f t="shared" si="6"/>
        <v>2</v>
      </c>
      <c r="I54" s="243">
        <f>'Epi-Curve Model'!E92</f>
        <v>4.5743523459129687E-4</v>
      </c>
      <c r="J54" s="78" t="e">
        <f ca="1">'Epi-Curve Model'!G92</f>
        <v>#N/A</v>
      </c>
      <c r="K54" s="78" t="e">
        <f ca="1">'Epi-Curve Model'!F92</f>
        <v>#N/A</v>
      </c>
      <c r="L54" s="227">
        <f t="shared" si="15"/>
        <v>0.57966101694915262</v>
      </c>
      <c r="M54" s="235">
        <f t="shared" si="16"/>
        <v>0</v>
      </c>
      <c r="N54" s="235">
        <f t="shared" si="18"/>
        <v>0</v>
      </c>
      <c r="O54" s="78" t="str">
        <f>IF(OR(PEP_Decisions!$E$40="",PEP_Decisions!$E$6="",PEP_Decisions!$E$15="",PEP_Decisions!$E$24="",PEP_Decisions!$E$38="No",PEP_Decisions!$E$38="",)," ",IF(K54&gt;0,K54,IF(H54&gt;0,IF(J54*(1-($D$14*L54*N54/$H$9))&lt;0,0,(J54*(1-($D$14*L54*N54/$H$9)))),J54)))</f>
        <v xml:space="preserve"> </v>
      </c>
      <c r="P54" s="78" t="e">
        <f t="shared" ca="1" si="17"/>
        <v>#VALUE!</v>
      </c>
      <c r="Q54" s="78" t="e">
        <f ca="1">'Epi-Curve Model'!I92</f>
        <v>#N/A</v>
      </c>
      <c r="R54" s="247" t="e">
        <f t="shared" si="19"/>
        <v>#VALUE!</v>
      </c>
      <c r="S54" s="247" t="e">
        <f ca="1">'Epi-Curve Model'!J92</f>
        <v>#N/A</v>
      </c>
      <c r="T54" s="78" t="e">
        <f ca="1">'Epi-Curve Model'!K92</f>
        <v>#N/A</v>
      </c>
    </row>
    <row r="55" spans="2:20" x14ac:dyDescent="0.25">
      <c r="B55" s="104">
        <f t="shared" si="10"/>
        <v>36</v>
      </c>
      <c r="C55" s="94">
        <v>37</v>
      </c>
      <c r="D55" s="96" t="str">
        <f t="shared" si="11"/>
        <v/>
      </c>
      <c r="E55" s="96">
        <f t="shared" si="12"/>
        <v>0</v>
      </c>
      <c r="F55" s="96">
        <f t="shared" si="13"/>
        <v>1</v>
      </c>
      <c r="G55" s="96">
        <f t="shared" si="14"/>
        <v>0</v>
      </c>
      <c r="H55" s="96">
        <f t="shared" si="6"/>
        <v>2</v>
      </c>
      <c r="I55" s="243">
        <f>'Epi-Curve Model'!E93</f>
        <v>3.9213914699076646E-4</v>
      </c>
      <c r="J55" s="78" t="e">
        <f ca="1">'Epi-Curve Model'!G93</f>
        <v>#N/A</v>
      </c>
      <c r="K55" s="78" t="e">
        <f ca="1">'Epi-Curve Model'!F93</f>
        <v>#N/A</v>
      </c>
      <c r="L55" s="227">
        <f t="shared" si="15"/>
        <v>0.57050847457627119</v>
      </c>
      <c r="M55" s="235">
        <f t="shared" si="16"/>
        <v>0</v>
      </c>
      <c r="N55" s="235">
        <f t="shared" si="18"/>
        <v>0</v>
      </c>
      <c r="O55" s="78" t="str">
        <f>IF(OR(PEP_Decisions!$E$40="",PEP_Decisions!$E$6="",PEP_Decisions!$E$15="",PEP_Decisions!$E$24="",PEP_Decisions!$E$38="No",PEP_Decisions!$E$38="",)," ",IF(K55&gt;0,K55,IF(H55&gt;0,IF(J55*(1-($D$14*L55*N55/$H$9))&lt;0,0,(J55*(1-($D$14*L55*N55/$H$9)))),J55)))</f>
        <v xml:space="preserve"> </v>
      </c>
      <c r="P55" s="78" t="e">
        <f t="shared" ca="1" si="17"/>
        <v>#VALUE!</v>
      </c>
      <c r="Q55" s="78" t="e">
        <f ca="1">'Epi-Curve Model'!I93</f>
        <v>#N/A</v>
      </c>
      <c r="R55" s="247" t="e">
        <f t="shared" si="19"/>
        <v>#VALUE!</v>
      </c>
      <c r="S55" s="247" t="e">
        <f ca="1">'Epi-Curve Model'!J93</f>
        <v>#N/A</v>
      </c>
      <c r="T55" s="78" t="e">
        <f ca="1">'Epi-Curve Model'!K93</f>
        <v>#N/A</v>
      </c>
    </row>
    <row r="56" spans="2:20" x14ac:dyDescent="0.25">
      <c r="B56" s="104">
        <f t="shared" si="10"/>
        <v>37</v>
      </c>
      <c r="C56" s="94">
        <v>38</v>
      </c>
      <c r="D56" s="96" t="str">
        <f t="shared" si="11"/>
        <v/>
      </c>
      <c r="E56" s="96">
        <f t="shared" si="12"/>
        <v>0</v>
      </c>
      <c r="F56" s="96">
        <f t="shared" si="13"/>
        <v>1</v>
      </c>
      <c r="G56" s="96">
        <f t="shared" si="14"/>
        <v>0</v>
      </c>
      <c r="H56" s="96">
        <f t="shared" si="6"/>
        <v>2</v>
      </c>
      <c r="I56" s="243">
        <f>'Epi-Curve Model'!E94</f>
        <v>3.3688228175876578E-4</v>
      </c>
      <c r="J56" s="78" t="e">
        <f ca="1">'Epi-Curve Model'!G94</f>
        <v>#N/A</v>
      </c>
      <c r="K56" s="78" t="e">
        <f ca="1">'Epi-Curve Model'!F94</f>
        <v>#N/A</v>
      </c>
      <c r="L56" s="227">
        <f t="shared" si="15"/>
        <v>0.56135593220338986</v>
      </c>
      <c r="M56" s="235">
        <f t="shared" si="16"/>
        <v>0</v>
      </c>
      <c r="N56" s="235">
        <f t="shared" si="18"/>
        <v>0</v>
      </c>
      <c r="O56" s="78" t="str">
        <f>IF(OR(PEP_Decisions!$E$40="",PEP_Decisions!$E$6="",PEP_Decisions!$E$15="",PEP_Decisions!$E$24="",PEP_Decisions!$E$38="No",PEP_Decisions!$E$38="",)," ",IF(K56&gt;0,K56,IF(H56&gt;0,IF(J56*(1-($D$14*L56*N56/$H$9))&lt;0,0,(J56*(1-($D$14*L56*N56/$H$9)))),J56)))</f>
        <v xml:space="preserve"> </v>
      </c>
      <c r="P56" s="78" t="e">
        <f t="shared" ca="1" si="17"/>
        <v>#VALUE!</v>
      </c>
      <c r="Q56" s="78" t="e">
        <f ca="1">'Epi-Curve Model'!I94</f>
        <v>#N/A</v>
      </c>
      <c r="R56" s="247" t="e">
        <f t="shared" si="19"/>
        <v>#VALUE!</v>
      </c>
      <c r="S56" s="247" t="e">
        <f ca="1">'Epi-Curve Model'!J94</f>
        <v>#N/A</v>
      </c>
      <c r="T56" s="78" t="e">
        <f ca="1">'Epi-Curve Model'!K94</f>
        <v>#N/A</v>
      </c>
    </row>
    <row r="57" spans="2:20" x14ac:dyDescent="0.25">
      <c r="B57" s="104">
        <f t="shared" si="10"/>
        <v>38</v>
      </c>
      <c r="C57" s="94">
        <v>39</v>
      </c>
      <c r="D57" s="96" t="str">
        <f t="shared" si="11"/>
        <v/>
      </c>
      <c r="E57" s="96">
        <f t="shared" si="12"/>
        <v>0</v>
      </c>
      <c r="F57" s="96">
        <f t="shared" si="13"/>
        <v>1</v>
      </c>
      <c r="G57" s="96">
        <f t="shared" si="14"/>
        <v>0</v>
      </c>
      <c r="H57" s="96">
        <f t="shared" si="6"/>
        <v>2</v>
      </c>
      <c r="I57" s="243">
        <f>'Epi-Curve Model'!E95</f>
        <v>2.9001308254406055E-4</v>
      </c>
      <c r="J57" s="78" t="e">
        <f ca="1">'Epi-Curve Model'!G95</f>
        <v>#N/A</v>
      </c>
      <c r="K57" s="78" t="e">
        <f ca="1">'Epi-Curve Model'!F95</f>
        <v>#N/A</v>
      </c>
      <c r="L57" s="227">
        <f t="shared" si="15"/>
        <v>0.55220338983050854</v>
      </c>
      <c r="M57" s="235">
        <f t="shared" si="16"/>
        <v>0</v>
      </c>
      <c r="N57" s="235">
        <f t="shared" si="18"/>
        <v>0</v>
      </c>
      <c r="O57" s="78" t="str">
        <f>IF(OR(PEP_Decisions!$E$40="",PEP_Decisions!$E$6="",PEP_Decisions!$E$15="",PEP_Decisions!$E$24="",PEP_Decisions!$E$38="No",PEP_Decisions!$E$38="",)," ",IF(K57&gt;0,K57,IF(H57&gt;0,IF(J57*(1-($D$14*L57*N57/$H$9))&lt;0,0,(J57*(1-($D$14*L57*N57/$H$9)))),J57)))</f>
        <v xml:space="preserve"> </v>
      </c>
      <c r="P57" s="78" t="e">
        <f t="shared" ca="1" si="17"/>
        <v>#VALUE!</v>
      </c>
      <c r="Q57" s="78" t="e">
        <f ca="1">'Epi-Curve Model'!I95</f>
        <v>#N/A</v>
      </c>
      <c r="R57" s="247" t="e">
        <f t="shared" si="19"/>
        <v>#VALUE!</v>
      </c>
      <c r="S57" s="247" t="e">
        <f ca="1">'Epi-Curve Model'!J95</f>
        <v>#N/A</v>
      </c>
      <c r="T57" s="78" t="e">
        <f ca="1">'Epi-Curve Model'!K95</f>
        <v>#N/A</v>
      </c>
    </row>
    <row r="58" spans="2:20" x14ac:dyDescent="0.25">
      <c r="B58" s="104">
        <f t="shared" si="10"/>
        <v>39</v>
      </c>
      <c r="C58" s="94">
        <v>40</v>
      </c>
      <c r="D58" s="96" t="str">
        <f t="shared" si="11"/>
        <v/>
      </c>
      <c r="E58" s="96">
        <f t="shared" si="12"/>
        <v>0</v>
      </c>
      <c r="F58" s="96">
        <f t="shared" si="13"/>
        <v>1</v>
      </c>
      <c r="G58" s="96">
        <f t="shared" si="14"/>
        <v>0</v>
      </c>
      <c r="H58" s="96">
        <f t="shared" si="6"/>
        <v>2</v>
      </c>
      <c r="I58" s="243">
        <f>'Epi-Curve Model'!E96</f>
        <v>2.5016892299656313E-4</v>
      </c>
      <c r="J58" s="78" t="e">
        <f ca="1">'Epi-Curve Model'!G96</f>
        <v>#N/A</v>
      </c>
      <c r="K58" s="78" t="e">
        <f ca="1">'Epi-Curve Model'!F96</f>
        <v>#N/A</v>
      </c>
      <c r="L58" s="227">
        <f t="shared" si="15"/>
        <v>0.54305084745762722</v>
      </c>
      <c r="M58" s="235">
        <f t="shared" si="16"/>
        <v>0</v>
      </c>
      <c r="N58" s="235">
        <f t="shared" si="18"/>
        <v>0</v>
      </c>
      <c r="O58" s="78" t="str">
        <f>IF(OR(PEP_Decisions!$E$40="",PEP_Decisions!$E$6="",PEP_Decisions!$E$15="",PEP_Decisions!$E$24="",PEP_Decisions!$E$38="No",PEP_Decisions!$E$38="",)," ",IF(K58&gt;0,K58,IF(H58&gt;0,IF(J58*(1-($D$14*L58*N58/$H$9))&lt;0,0,(J58*(1-($D$14*L58*N58/$H$9)))),J58)))</f>
        <v xml:space="preserve"> </v>
      </c>
      <c r="P58" s="78" t="e">
        <f t="shared" ca="1" si="17"/>
        <v>#VALUE!</v>
      </c>
      <c r="Q58" s="78" t="e">
        <f ca="1">'Epi-Curve Model'!I96</f>
        <v>#N/A</v>
      </c>
      <c r="R58" s="247" t="e">
        <f t="shared" si="19"/>
        <v>#VALUE!</v>
      </c>
      <c r="S58" s="247" t="e">
        <f ca="1">'Epi-Curve Model'!J96</f>
        <v>#N/A</v>
      </c>
      <c r="T58" s="78" t="e">
        <f ca="1">'Epi-Curve Model'!K96</f>
        <v>#N/A</v>
      </c>
    </row>
    <row r="59" spans="2:20" x14ac:dyDescent="0.25">
      <c r="B59" s="104">
        <f t="shared" si="10"/>
        <v>40</v>
      </c>
      <c r="C59" s="94">
        <v>41</v>
      </c>
      <c r="D59" s="96" t="str">
        <f t="shared" si="11"/>
        <v/>
      </c>
      <c r="E59" s="96">
        <f t="shared" si="12"/>
        <v>0</v>
      </c>
      <c r="F59" s="96">
        <f t="shared" si="13"/>
        <v>1</v>
      </c>
      <c r="G59" s="96">
        <f t="shared" si="14"/>
        <v>0</v>
      </c>
      <c r="H59" s="96">
        <f t="shared" si="6"/>
        <v>2</v>
      </c>
      <c r="I59" s="243">
        <f>'Epi-Curve Model'!E97</f>
        <v>2.1622266551513114E-4</v>
      </c>
      <c r="J59" s="78" t="e">
        <f ca="1">'Epi-Curve Model'!G97</f>
        <v>#N/A</v>
      </c>
      <c r="K59" s="78" t="e">
        <f ca="1">'Epi-Curve Model'!F97</f>
        <v>#N/A</v>
      </c>
      <c r="L59" s="227">
        <f t="shared" si="15"/>
        <v>0.53389830508474578</v>
      </c>
      <c r="M59" s="235">
        <f t="shared" si="16"/>
        <v>0</v>
      </c>
      <c r="N59" s="235">
        <f t="shared" si="18"/>
        <v>0</v>
      </c>
      <c r="O59" s="78" t="str">
        <f>IF(OR(PEP_Decisions!$E$40="",PEP_Decisions!$E$6="",PEP_Decisions!$E$15="",PEP_Decisions!$E$24="",PEP_Decisions!$E$38="No",PEP_Decisions!$E$38="",)," ",IF(K59&gt;0,K59,IF(H59&gt;0,IF(J59*(1-($D$14*L59*N59/$H$9))&lt;0,0,(J59*(1-($D$14*L59*N59/$H$9)))),J59)))</f>
        <v xml:space="preserve"> </v>
      </c>
      <c r="P59" s="78" t="e">
        <f t="shared" ca="1" si="17"/>
        <v>#VALUE!</v>
      </c>
      <c r="Q59" s="78" t="e">
        <f ca="1">'Epi-Curve Model'!I97</f>
        <v>#N/A</v>
      </c>
      <c r="R59" s="247" t="e">
        <f t="shared" si="19"/>
        <v>#VALUE!</v>
      </c>
      <c r="S59" s="247" t="e">
        <f ca="1">'Epi-Curve Model'!J97</f>
        <v>#N/A</v>
      </c>
      <c r="T59" s="78" t="e">
        <f ca="1">'Epi-Curve Model'!K97</f>
        <v>#N/A</v>
      </c>
    </row>
    <row r="60" spans="2:20" x14ac:dyDescent="0.25">
      <c r="B60" s="104">
        <f t="shared" si="10"/>
        <v>41</v>
      </c>
      <c r="C60" s="94">
        <v>42</v>
      </c>
      <c r="D60" s="96" t="str">
        <f t="shared" si="11"/>
        <v/>
      </c>
      <c r="E60" s="96">
        <f t="shared" si="12"/>
        <v>0</v>
      </c>
      <c r="F60" s="96">
        <f t="shared" si="13"/>
        <v>1</v>
      </c>
      <c r="G60" s="96">
        <f t="shared" si="14"/>
        <v>0</v>
      </c>
      <c r="H60" s="96">
        <f t="shared" si="6"/>
        <v>2</v>
      </c>
      <c r="I60" s="243">
        <f>'Epi-Curve Model'!E98</f>
        <v>1.8723961259026201E-4</v>
      </c>
      <c r="J60" s="78" t="e">
        <f ca="1">'Epi-Curve Model'!G98</f>
        <v>#N/A</v>
      </c>
      <c r="K60" s="78" t="e">
        <f ca="1">'Epi-Curve Model'!F98</f>
        <v>#N/A</v>
      </c>
      <c r="L60" s="227">
        <f t="shared" si="15"/>
        <v>0.52474576271186446</v>
      </c>
      <c r="M60" s="235">
        <f t="shared" si="16"/>
        <v>0</v>
      </c>
      <c r="N60" s="235">
        <f t="shared" si="18"/>
        <v>0</v>
      </c>
      <c r="O60" s="78" t="str">
        <f>IF(OR(PEP_Decisions!$E$40="",PEP_Decisions!$E$6="",PEP_Decisions!$E$15="",PEP_Decisions!$E$24="",PEP_Decisions!$E$38="No",PEP_Decisions!$E$38="",)," ",IF(K60&gt;0,K60,IF(H60&gt;0,IF(J60*(1-($D$14*L60*N60/$H$9))&lt;0,0,(J60*(1-($D$14*L60*N60/$H$9)))),J60)))</f>
        <v xml:space="preserve"> </v>
      </c>
      <c r="P60" s="78" t="e">
        <f t="shared" ca="1" si="17"/>
        <v>#VALUE!</v>
      </c>
      <c r="Q60" s="78" t="e">
        <f ca="1">'Epi-Curve Model'!I98</f>
        <v>#N/A</v>
      </c>
      <c r="R60" s="247" t="e">
        <f t="shared" si="19"/>
        <v>#VALUE!</v>
      </c>
      <c r="S60" s="247" t="e">
        <f ca="1">'Epi-Curve Model'!J98</f>
        <v>#N/A</v>
      </c>
      <c r="T60" s="78" t="e">
        <f ca="1">'Epi-Curve Model'!K98</f>
        <v>#N/A</v>
      </c>
    </row>
    <row r="61" spans="2:20" x14ac:dyDescent="0.25">
      <c r="B61" s="104">
        <f t="shared" si="10"/>
        <v>42</v>
      </c>
      <c r="C61" s="94">
        <v>43</v>
      </c>
      <c r="D61" s="96" t="str">
        <f t="shared" si="11"/>
        <v/>
      </c>
      <c r="E61" s="96">
        <f t="shared" si="12"/>
        <v>0</v>
      </c>
      <c r="F61" s="96">
        <f t="shared" si="13"/>
        <v>1</v>
      </c>
      <c r="G61" s="96">
        <f t="shared" si="14"/>
        <v>0</v>
      </c>
      <c r="H61" s="96">
        <f t="shared" si="6"/>
        <v>2</v>
      </c>
      <c r="I61" s="243">
        <f>'Epi-Curve Model'!E99</f>
        <v>1.6244273750543048E-4</v>
      </c>
      <c r="J61" s="78" t="e">
        <f ca="1">'Epi-Curve Model'!G99</f>
        <v>#N/A</v>
      </c>
      <c r="K61" s="78" t="e">
        <f ca="1">'Epi-Curve Model'!F99</f>
        <v>#N/A</v>
      </c>
      <c r="L61" s="227">
        <f t="shared" si="15"/>
        <v>0.51559322033898314</v>
      </c>
      <c r="M61" s="235">
        <f t="shared" si="16"/>
        <v>0</v>
      </c>
      <c r="N61" s="235">
        <f t="shared" si="18"/>
        <v>0</v>
      </c>
      <c r="O61" s="78" t="str">
        <f>IF(OR(PEP_Decisions!$E$40="",PEP_Decisions!$E$6="",PEP_Decisions!$E$15="",PEP_Decisions!$E$24="",PEP_Decisions!$E$38="No",PEP_Decisions!$E$38="",)," ",IF(K61&gt;0,K61,IF(H61&gt;0,IF(J61*(1-($D$14*L61*N61/$H$9))&lt;0,0,(J61*(1-($D$14*L61*N61/$H$9)))),J61)))</f>
        <v xml:space="preserve"> </v>
      </c>
      <c r="P61" s="78" t="e">
        <f t="shared" ca="1" si="17"/>
        <v>#VALUE!</v>
      </c>
      <c r="Q61" s="78" t="e">
        <f ca="1">'Epi-Curve Model'!I99</f>
        <v>#N/A</v>
      </c>
      <c r="R61" s="247" t="e">
        <f t="shared" si="19"/>
        <v>#VALUE!</v>
      </c>
      <c r="S61" s="247" t="e">
        <f ca="1">'Epi-Curve Model'!J99</f>
        <v>#N/A</v>
      </c>
      <c r="T61" s="78" t="e">
        <f ca="1">'Epi-Curve Model'!K99</f>
        <v>#N/A</v>
      </c>
    </row>
    <row r="62" spans="2:20" x14ac:dyDescent="0.25">
      <c r="B62" s="104">
        <f t="shared" si="10"/>
        <v>43</v>
      </c>
      <c r="C62" s="94">
        <v>44</v>
      </c>
      <c r="D62" s="96" t="str">
        <f t="shared" si="11"/>
        <v/>
      </c>
      <c r="E62" s="96">
        <f t="shared" si="12"/>
        <v>0</v>
      </c>
      <c r="F62" s="96">
        <f t="shared" si="13"/>
        <v>1</v>
      </c>
      <c r="G62" s="96">
        <f t="shared" si="14"/>
        <v>0</v>
      </c>
      <c r="H62" s="96">
        <f t="shared" si="6"/>
        <v>2</v>
      </c>
      <c r="I62" s="243">
        <f>'Epi-Curve Model'!E100</f>
        <v>1.411845279563062E-4</v>
      </c>
      <c r="J62" s="78" t="e">
        <f ca="1">'Epi-Curve Model'!G100</f>
        <v>#N/A</v>
      </c>
      <c r="K62" s="78" t="e">
        <f ca="1">'Epi-Curve Model'!F100</f>
        <v>#N/A</v>
      </c>
      <c r="L62" s="227">
        <f t="shared" si="15"/>
        <v>0.5064406779661017</v>
      </c>
      <c r="M62" s="235">
        <f t="shared" si="16"/>
        <v>0</v>
      </c>
      <c r="N62" s="235">
        <f t="shared" si="18"/>
        <v>0</v>
      </c>
      <c r="O62" s="78" t="str">
        <f>IF(OR(PEP_Decisions!$E$40="",PEP_Decisions!$E$6="",PEP_Decisions!$E$15="",PEP_Decisions!$E$24="",PEP_Decisions!$E$38="No",PEP_Decisions!$E$38="",)," ",IF(K62&gt;0,K62,IF(H62&gt;0,IF(J62*(1-($D$14*L62*N62/$H$9))&lt;0,0,(J62*(1-($D$14*L62*N62/$H$9)))),J62)))</f>
        <v xml:space="preserve"> </v>
      </c>
      <c r="P62" s="78" t="e">
        <f t="shared" ca="1" si="17"/>
        <v>#VALUE!</v>
      </c>
      <c r="Q62" s="78" t="e">
        <f ca="1">'Epi-Curve Model'!I100</f>
        <v>#N/A</v>
      </c>
      <c r="R62" s="247" t="e">
        <f t="shared" si="19"/>
        <v>#VALUE!</v>
      </c>
      <c r="S62" s="247" t="e">
        <f ca="1">'Epi-Curve Model'!J100</f>
        <v>#N/A</v>
      </c>
      <c r="T62" s="78" t="e">
        <f ca="1">'Epi-Curve Model'!K100</f>
        <v>#N/A</v>
      </c>
    </row>
    <row r="63" spans="2:20" x14ac:dyDescent="0.25">
      <c r="B63" s="104">
        <f t="shared" si="10"/>
        <v>44</v>
      </c>
      <c r="C63" s="94">
        <v>45</v>
      </c>
      <c r="D63" s="96" t="str">
        <f t="shared" si="11"/>
        <v/>
      </c>
      <c r="E63" s="96">
        <f t="shared" si="12"/>
        <v>0</v>
      </c>
      <c r="F63" s="96">
        <f t="shared" si="13"/>
        <v>1</v>
      </c>
      <c r="G63" s="96">
        <f t="shared" si="14"/>
        <v>0</v>
      </c>
      <c r="H63" s="96">
        <f t="shared" si="6"/>
        <v>2</v>
      </c>
      <c r="I63" s="243">
        <f>'Epi-Curve Model'!E101</f>
        <v>1.2292412531544894E-4</v>
      </c>
      <c r="J63" s="78" t="e">
        <f ca="1">'Epi-Curve Model'!G101</f>
        <v>#N/A</v>
      </c>
      <c r="K63" s="78" t="e">
        <f ca="1">'Epi-Curve Model'!F101</f>
        <v>#N/A</v>
      </c>
      <c r="L63" s="227">
        <f t="shared" si="15"/>
        <v>0.49728813559322038</v>
      </c>
      <c r="M63" s="235">
        <f t="shared" si="16"/>
        <v>0</v>
      </c>
      <c r="N63" s="235">
        <f t="shared" si="18"/>
        <v>0</v>
      </c>
      <c r="O63" s="78" t="str">
        <f>IF(OR(PEP_Decisions!$E$40="",PEP_Decisions!$E$6="",PEP_Decisions!$E$15="",PEP_Decisions!$E$24="",PEP_Decisions!$E$38="No",PEP_Decisions!$E$38="",)," ",IF(K63&gt;0,K63,IF(H63&gt;0,IF(J63*(1-($D$14*L63*N63/$H$9))&lt;0,0,(J63*(1-($D$14*L63*N63/$H$9)))),J63)))</f>
        <v xml:space="preserve"> </v>
      </c>
      <c r="P63" s="78" t="e">
        <f t="shared" ca="1" si="17"/>
        <v>#VALUE!</v>
      </c>
      <c r="Q63" s="78" t="e">
        <f ca="1">'Epi-Curve Model'!I101</f>
        <v>#N/A</v>
      </c>
      <c r="R63" s="247" t="e">
        <f t="shared" si="19"/>
        <v>#VALUE!</v>
      </c>
      <c r="S63" s="247" t="e">
        <f ca="1">'Epi-Curve Model'!J101</f>
        <v>#N/A</v>
      </c>
      <c r="T63" s="78" t="e">
        <f ca="1">'Epi-Curve Model'!K101</f>
        <v>#N/A</v>
      </c>
    </row>
    <row r="64" spans="2:20" x14ac:dyDescent="0.25">
      <c r="B64" s="104">
        <f t="shared" si="10"/>
        <v>45</v>
      </c>
      <c r="C64" s="94">
        <v>46</v>
      </c>
      <c r="D64" s="96" t="str">
        <f t="shared" si="11"/>
        <v/>
      </c>
      <c r="E64" s="96">
        <f t="shared" si="12"/>
        <v>0</v>
      </c>
      <c r="F64" s="96">
        <f t="shared" si="13"/>
        <v>1</v>
      </c>
      <c r="G64" s="96">
        <f t="shared" si="14"/>
        <v>0</v>
      </c>
      <c r="H64" s="96">
        <f t="shared" si="6"/>
        <v>2</v>
      </c>
      <c r="I64" s="243">
        <f>'Epi-Curve Model'!E102</f>
        <v>1.0720871569669388E-4</v>
      </c>
      <c r="J64" s="78" t="e">
        <f ca="1">'Epi-Curve Model'!G102</f>
        <v>#N/A</v>
      </c>
      <c r="K64" s="78" t="e">
        <f ca="1">'Epi-Curve Model'!F102</f>
        <v>#N/A</v>
      </c>
      <c r="L64" s="227">
        <f t="shared" si="15"/>
        <v>0.48813559322033911</v>
      </c>
      <c r="M64" s="235">
        <f t="shared" si="16"/>
        <v>0</v>
      </c>
      <c r="N64" s="235">
        <f t="shared" si="18"/>
        <v>0</v>
      </c>
      <c r="O64" s="78" t="str">
        <f>IF(OR(PEP_Decisions!$E$40="",PEP_Decisions!$E$6="",PEP_Decisions!$E$15="",PEP_Decisions!$E$24="",PEP_Decisions!$E$38="No",PEP_Decisions!$E$38="",)," ",IF(K64&gt;0,K64,IF(H64&gt;0,IF(J64*(1-($D$14*L64*N64/$H$9))&lt;0,0,(J64*(1-($D$14*L64*N64/$H$9)))),J64)))</f>
        <v xml:space="preserve"> </v>
      </c>
      <c r="P64" s="78" t="e">
        <f t="shared" ca="1" si="17"/>
        <v>#VALUE!</v>
      </c>
      <c r="Q64" s="78" t="e">
        <f ca="1">'Epi-Curve Model'!I102</f>
        <v>#N/A</v>
      </c>
      <c r="R64" s="247" t="e">
        <f t="shared" si="19"/>
        <v>#VALUE!</v>
      </c>
      <c r="S64" s="247" t="e">
        <f ca="1">'Epi-Curve Model'!J102</f>
        <v>#N/A</v>
      </c>
      <c r="T64" s="78" t="e">
        <f ca="1">'Epi-Curve Model'!K102</f>
        <v>#N/A</v>
      </c>
    </row>
    <row r="65" spans="2:20" x14ac:dyDescent="0.25">
      <c r="B65" s="104">
        <f t="shared" si="10"/>
        <v>46</v>
      </c>
      <c r="C65" s="94">
        <v>47</v>
      </c>
      <c r="D65" s="96" t="str">
        <f t="shared" si="11"/>
        <v/>
      </c>
      <c r="E65" s="96">
        <f t="shared" si="12"/>
        <v>0</v>
      </c>
      <c r="F65" s="96">
        <f t="shared" si="13"/>
        <v>1</v>
      </c>
      <c r="G65" s="96">
        <f t="shared" si="14"/>
        <v>0</v>
      </c>
      <c r="H65" s="96">
        <f t="shared" si="6"/>
        <v>2</v>
      </c>
      <c r="I65" s="243">
        <f>'Epi-Curve Model'!E103</f>
        <v>9.3658343571889624E-5</v>
      </c>
      <c r="J65" s="78" t="e">
        <f ca="1">'Epi-Curve Model'!G103</f>
        <v>#N/A</v>
      </c>
      <c r="K65" s="78" t="e">
        <f ca="1">'Epi-Curve Model'!F103</f>
        <v>#N/A</v>
      </c>
      <c r="L65" s="227">
        <f t="shared" si="15"/>
        <v>0.47898305084745768</v>
      </c>
      <c r="M65" s="235">
        <f t="shared" si="16"/>
        <v>0</v>
      </c>
      <c r="N65" s="235">
        <f t="shared" si="18"/>
        <v>0</v>
      </c>
      <c r="O65" s="78" t="str">
        <f>IF(OR(PEP_Decisions!$E$40="",PEP_Decisions!$E$6="",PEP_Decisions!$E$15="",PEP_Decisions!$E$24="",PEP_Decisions!$E$38="No",PEP_Decisions!$E$38="",)," ",IF(K65&gt;0,K65,IF(H65&gt;0,IF(J65*(1-($D$14*L65*N65/$H$9))&lt;0,0,(J65*(1-($D$14*L65*N65/$H$9)))),J65)))</f>
        <v xml:space="preserve"> </v>
      </c>
      <c r="P65" s="78" t="e">
        <f t="shared" ca="1" si="17"/>
        <v>#VALUE!</v>
      </c>
      <c r="Q65" s="78" t="e">
        <f ca="1">'Epi-Curve Model'!I103</f>
        <v>#N/A</v>
      </c>
      <c r="R65" s="247" t="e">
        <f t="shared" si="19"/>
        <v>#VALUE!</v>
      </c>
      <c r="S65" s="247" t="e">
        <f ca="1">'Epi-Curve Model'!J103</f>
        <v>#N/A</v>
      </c>
      <c r="T65" s="78" t="e">
        <f ca="1">'Epi-Curve Model'!K103</f>
        <v>#N/A</v>
      </c>
    </row>
    <row r="66" spans="2:20" x14ac:dyDescent="0.25">
      <c r="B66" s="104">
        <f t="shared" si="10"/>
        <v>47</v>
      </c>
      <c r="C66" s="94">
        <v>48</v>
      </c>
      <c r="D66" s="96" t="str">
        <f t="shared" si="11"/>
        <v/>
      </c>
      <c r="E66" s="96">
        <f t="shared" si="12"/>
        <v>0</v>
      </c>
      <c r="F66" s="96">
        <f t="shared" si="13"/>
        <v>1</v>
      </c>
      <c r="G66" s="96">
        <f t="shared" si="14"/>
        <v>0</v>
      </c>
      <c r="H66" s="96">
        <f t="shared" si="6"/>
        <v>2</v>
      </c>
      <c r="I66" s="243">
        <f>'Epi-Curve Model'!E104</f>
        <v>8.1953487498731548E-5</v>
      </c>
      <c r="J66" s="78" t="e">
        <f ca="1">'Epi-Curve Model'!G104</f>
        <v>#N/A</v>
      </c>
      <c r="K66" s="78" t="e">
        <f ca="1">'Epi-Curve Model'!F104</f>
        <v>#N/A</v>
      </c>
      <c r="L66" s="227">
        <f t="shared" si="15"/>
        <v>0.46983050847457625</v>
      </c>
      <c r="M66" s="235">
        <f t="shared" si="16"/>
        <v>0</v>
      </c>
      <c r="N66" s="235">
        <f t="shared" si="18"/>
        <v>0</v>
      </c>
      <c r="O66" s="78" t="str">
        <f>IF(OR(PEP_Decisions!$E$40="",PEP_Decisions!$E$6="",PEP_Decisions!$E$15="",PEP_Decisions!$E$24="",PEP_Decisions!$E$38="No",PEP_Decisions!$E$38="",)," ",IF(K66&gt;0,K66,IF(H66&gt;0,IF(J66*(1-($D$14*L66*N66/$H$9))&lt;0,0,(J66*(1-($D$14*L66*N66/$H$9)))),J66)))</f>
        <v xml:space="preserve"> </v>
      </c>
      <c r="P66" s="78" t="e">
        <f t="shared" ca="1" si="17"/>
        <v>#VALUE!</v>
      </c>
      <c r="Q66" s="78" t="e">
        <f ca="1">'Epi-Curve Model'!I104</f>
        <v>#N/A</v>
      </c>
      <c r="R66" s="247" t="e">
        <f t="shared" si="19"/>
        <v>#VALUE!</v>
      </c>
      <c r="S66" s="247" t="e">
        <f ca="1">'Epi-Curve Model'!J104</f>
        <v>#N/A</v>
      </c>
      <c r="T66" s="78" t="e">
        <f ca="1">'Epi-Curve Model'!K104</f>
        <v>#N/A</v>
      </c>
    </row>
    <row r="67" spans="2:20" x14ac:dyDescent="0.25">
      <c r="B67" s="104">
        <f t="shared" si="10"/>
        <v>48</v>
      </c>
      <c r="C67" s="94">
        <v>49</v>
      </c>
      <c r="D67" s="96" t="str">
        <f t="shared" si="11"/>
        <v/>
      </c>
      <c r="E67" s="96">
        <f t="shared" si="12"/>
        <v>0</v>
      </c>
      <c r="F67" s="96">
        <f t="shared" si="13"/>
        <v>1</v>
      </c>
      <c r="G67" s="96">
        <f t="shared" si="14"/>
        <v>0</v>
      </c>
      <c r="H67" s="96">
        <f t="shared" si="6"/>
        <v>2</v>
      </c>
      <c r="I67" s="243">
        <f>'Epi-Curve Model'!E105</f>
        <v>7.1824870630288196E-5</v>
      </c>
      <c r="J67" s="78" t="e">
        <f ca="1">'Epi-Curve Model'!G105</f>
        <v>#N/A</v>
      </c>
      <c r="K67" s="78" t="e">
        <f ca="1">'Epi-Curve Model'!F105</f>
        <v>#N/A</v>
      </c>
      <c r="L67" s="227">
        <f t="shared" si="15"/>
        <v>0.46067796610169498</v>
      </c>
      <c r="M67" s="235">
        <f t="shared" si="16"/>
        <v>0</v>
      </c>
      <c r="N67" s="235">
        <f t="shared" si="18"/>
        <v>0</v>
      </c>
      <c r="O67" s="78" t="str">
        <f>IF(OR(PEP_Decisions!$E$40="",PEP_Decisions!$E$6="",PEP_Decisions!$E$15="",PEP_Decisions!$E$24="",PEP_Decisions!$E$38="No",PEP_Decisions!$E$38="",)," ",IF(K67&gt;0,K67,IF(H67&gt;0,IF(J67*(1-($D$14*L67*N67/$H$9))&lt;0,0,(J67*(1-($D$14*L67*N67/$H$9)))),J67)))</f>
        <v xml:space="preserve"> </v>
      </c>
      <c r="P67" s="78" t="e">
        <f t="shared" ca="1" si="17"/>
        <v>#VALUE!</v>
      </c>
      <c r="Q67" s="78" t="e">
        <f ca="1">'Epi-Curve Model'!I105</f>
        <v>#N/A</v>
      </c>
      <c r="R67" s="247" t="e">
        <f t="shared" si="19"/>
        <v>#VALUE!</v>
      </c>
      <c r="S67" s="247" t="e">
        <f ca="1">'Epi-Curve Model'!J105</f>
        <v>#N/A</v>
      </c>
      <c r="T67" s="78" t="e">
        <f ca="1">'Epi-Curve Model'!K105</f>
        <v>#N/A</v>
      </c>
    </row>
    <row r="68" spans="2:20" x14ac:dyDescent="0.25">
      <c r="B68" s="104">
        <f t="shared" si="10"/>
        <v>49</v>
      </c>
      <c r="C68" s="94">
        <v>50</v>
      </c>
      <c r="D68" s="96" t="str">
        <f t="shared" si="11"/>
        <v/>
      </c>
      <c r="E68" s="96">
        <f t="shared" si="12"/>
        <v>0</v>
      </c>
      <c r="F68" s="96">
        <f t="shared" si="13"/>
        <v>1</v>
      </c>
      <c r="G68" s="96">
        <f t="shared" si="14"/>
        <v>0</v>
      </c>
      <c r="H68" s="96">
        <f t="shared" si="6"/>
        <v>2</v>
      </c>
      <c r="I68" s="243">
        <f>'Epi-Curve Model'!E106</f>
        <v>6.3045083889323728E-5</v>
      </c>
      <c r="J68" s="78" t="e">
        <f ca="1">'Epi-Curve Model'!G106</f>
        <v>#N/A</v>
      </c>
      <c r="K68" s="78" t="e">
        <f ca="1">'Epi-Curve Model'!F106</f>
        <v>#N/A</v>
      </c>
      <c r="L68" s="227">
        <f t="shared" si="15"/>
        <v>0.45152542372881366</v>
      </c>
      <c r="M68" s="235">
        <f t="shared" si="16"/>
        <v>0</v>
      </c>
      <c r="N68" s="235">
        <f t="shared" si="18"/>
        <v>0</v>
      </c>
      <c r="O68" s="78" t="str">
        <f>IF(OR(PEP_Decisions!$E$40="",PEP_Decisions!$E$6="",PEP_Decisions!$E$15="",PEP_Decisions!$E$24="",PEP_Decisions!$E$38="No",PEP_Decisions!$E$38="",)," ",IF(K68&gt;0,K68,IF(H68&gt;0,IF(J68*(1-($D$14*L68*N68/$H$9))&lt;0,0,(J68*(1-($D$14*L68*N68/$H$9)))),J68)))</f>
        <v xml:space="preserve"> </v>
      </c>
      <c r="P68" s="78" t="e">
        <f t="shared" ca="1" si="17"/>
        <v>#VALUE!</v>
      </c>
      <c r="Q68" s="78" t="e">
        <f ca="1">'Epi-Curve Model'!I106</f>
        <v>#N/A</v>
      </c>
      <c r="R68" s="247" t="e">
        <f t="shared" si="19"/>
        <v>#VALUE!</v>
      </c>
      <c r="S68" s="247" t="e">
        <f ca="1">'Epi-Curve Model'!J106</f>
        <v>#N/A</v>
      </c>
      <c r="T68" s="78" t="e">
        <f ca="1">'Epi-Curve Model'!K106</f>
        <v>#N/A</v>
      </c>
    </row>
    <row r="69" spans="2:20" x14ac:dyDescent="0.25">
      <c r="B69" s="104">
        <f t="shared" si="10"/>
        <v>50</v>
      </c>
      <c r="C69" s="94">
        <v>51</v>
      </c>
      <c r="D69" s="96" t="str">
        <f t="shared" si="11"/>
        <v/>
      </c>
      <c r="E69" s="96">
        <f t="shared" si="12"/>
        <v>0</v>
      </c>
      <c r="F69" s="96">
        <f t="shared" si="13"/>
        <v>1</v>
      </c>
      <c r="G69" s="96">
        <f t="shared" si="14"/>
        <v>0</v>
      </c>
      <c r="H69" s="96">
        <f t="shared" si="6"/>
        <v>2</v>
      </c>
      <c r="I69" s="243">
        <f>'Epi-Curve Model'!E107</f>
        <v>5.5421683060608018E-5</v>
      </c>
      <c r="J69" s="78" t="e">
        <f ca="1">'Epi-Curve Model'!G107</f>
        <v>#N/A</v>
      </c>
      <c r="K69" s="78" t="e">
        <f ca="1">'Epi-Curve Model'!F107</f>
        <v>#N/A</v>
      </c>
      <c r="L69" s="227">
        <f t="shared" si="15"/>
        <v>0.44237288135593222</v>
      </c>
      <c r="M69" s="235">
        <f t="shared" si="16"/>
        <v>0</v>
      </c>
      <c r="N69" s="235">
        <f t="shared" si="18"/>
        <v>0</v>
      </c>
      <c r="O69" s="78" t="str">
        <f>IF(OR(PEP_Decisions!$E$40="",PEP_Decisions!$E$6="",PEP_Decisions!$E$15="",PEP_Decisions!$E$24="",PEP_Decisions!$E$38="No",PEP_Decisions!$E$38="",)," ",IF(K69&gt;0,K69,IF(H69&gt;0,IF(J69*(1-($D$14*L69*N69/$H$9))&lt;0,0,(J69*(1-($D$14*L69*N69/$H$9)))),J69)))</f>
        <v xml:space="preserve"> </v>
      </c>
      <c r="P69" s="78" t="e">
        <f t="shared" ca="1" si="17"/>
        <v>#VALUE!</v>
      </c>
      <c r="Q69" s="78" t="e">
        <f ca="1">'Epi-Curve Model'!I107</f>
        <v>#N/A</v>
      </c>
      <c r="R69" s="247" t="e">
        <f t="shared" si="19"/>
        <v>#VALUE!</v>
      </c>
      <c r="S69" s="247" t="e">
        <f ca="1">'Epi-Curve Model'!J107</f>
        <v>#N/A</v>
      </c>
      <c r="T69" s="78" t="e">
        <f ca="1">'Epi-Curve Model'!K107</f>
        <v>#N/A</v>
      </c>
    </row>
    <row r="70" spans="2:20" x14ac:dyDescent="0.25">
      <c r="B70" s="104">
        <f t="shared" si="10"/>
        <v>51</v>
      </c>
      <c r="C70" s="94">
        <v>52</v>
      </c>
      <c r="D70" s="96" t="str">
        <f t="shared" si="11"/>
        <v/>
      </c>
      <c r="E70" s="96">
        <f t="shared" si="12"/>
        <v>0</v>
      </c>
      <c r="F70" s="96">
        <f t="shared" si="13"/>
        <v>1</v>
      </c>
      <c r="G70" s="96">
        <f t="shared" si="14"/>
        <v>0</v>
      </c>
      <c r="H70" s="96">
        <f t="shared" si="6"/>
        <v>2</v>
      </c>
      <c r="I70" s="243">
        <f>'Epi-Curve Model'!E108</f>
        <v>4.8791487279764567E-5</v>
      </c>
      <c r="J70" s="78" t="e">
        <f ca="1">'Epi-Curve Model'!G108</f>
        <v>#N/A</v>
      </c>
      <c r="K70" s="78" t="e">
        <f ca="1">'Epi-Curve Model'!F108</f>
        <v>#N/A</v>
      </c>
      <c r="L70" s="227">
        <f t="shared" si="15"/>
        <v>0.4332203389830509</v>
      </c>
      <c r="M70" s="235">
        <f t="shared" si="16"/>
        <v>0</v>
      </c>
      <c r="N70" s="235">
        <f t="shared" si="18"/>
        <v>0</v>
      </c>
      <c r="O70" s="78" t="str">
        <f>IF(OR(PEP_Decisions!$E$40="",PEP_Decisions!$E$6="",PEP_Decisions!$E$15="",PEP_Decisions!$E$24="",PEP_Decisions!$E$38="No",PEP_Decisions!$E$38="",)," ",IF(K70&gt;0,K70,IF(H70&gt;0,IF(J70*(1-($D$14*L70*N70/$H$9))&lt;0,0,(J70*(1-($D$14*L70*N70/$H$9)))),J70)))</f>
        <v xml:space="preserve"> </v>
      </c>
      <c r="P70" s="78" t="e">
        <f t="shared" ca="1" si="17"/>
        <v>#VALUE!</v>
      </c>
      <c r="Q70" s="78" t="e">
        <f ca="1">'Epi-Curve Model'!I108</f>
        <v>#N/A</v>
      </c>
      <c r="R70" s="247" t="e">
        <f t="shared" si="19"/>
        <v>#VALUE!</v>
      </c>
      <c r="S70" s="247" t="e">
        <f ca="1">'Epi-Curve Model'!J108</f>
        <v>#N/A</v>
      </c>
      <c r="T70" s="78" t="e">
        <f ca="1">'Epi-Curve Model'!K108</f>
        <v>#N/A</v>
      </c>
    </row>
    <row r="71" spans="2:20" x14ac:dyDescent="0.25">
      <c r="B71" s="104">
        <f t="shared" si="10"/>
        <v>52</v>
      </c>
      <c r="C71" s="94">
        <v>53</v>
      </c>
      <c r="D71" s="96" t="str">
        <f t="shared" si="11"/>
        <v/>
      </c>
      <c r="E71" s="96">
        <f t="shared" si="12"/>
        <v>0</v>
      </c>
      <c r="F71" s="96">
        <f t="shared" si="13"/>
        <v>1</v>
      </c>
      <c r="G71" s="96">
        <f t="shared" si="14"/>
        <v>0</v>
      </c>
      <c r="H71" s="96">
        <f t="shared" si="6"/>
        <v>2</v>
      </c>
      <c r="I71" s="243">
        <f>'Epi-Curve Model'!E109</f>
        <v>4.3015859130357548E-5</v>
      </c>
      <c r="J71" s="78" t="e">
        <f ca="1">'Epi-Curve Model'!G109</f>
        <v>#N/A</v>
      </c>
      <c r="K71" s="78" t="e">
        <f ca="1">'Epi-Curve Model'!F109</f>
        <v>#N/A</v>
      </c>
      <c r="L71" s="227">
        <f t="shared" si="15"/>
        <v>0.42406779661016952</v>
      </c>
      <c r="M71" s="235">
        <f t="shared" si="16"/>
        <v>0</v>
      </c>
      <c r="N71" s="235">
        <f t="shared" si="18"/>
        <v>0</v>
      </c>
      <c r="O71" s="78" t="str">
        <f>IF(OR(PEP_Decisions!$E$40="",PEP_Decisions!$E$6="",PEP_Decisions!$E$15="",PEP_Decisions!$E$24="",PEP_Decisions!$E$38="No",PEP_Decisions!$E$38="",)," ",IF(K71&gt;0,K71,IF(H71&gt;0,IF(J71*(1-($D$14*L71*N71/$H$9))&lt;0,0,(J71*(1-($D$14*L71*N71/$H$9)))),J71)))</f>
        <v xml:space="preserve"> </v>
      </c>
      <c r="P71" s="78" t="e">
        <f t="shared" ca="1" si="17"/>
        <v>#VALUE!</v>
      </c>
      <c r="Q71" s="78" t="e">
        <f ca="1">'Epi-Curve Model'!I109</f>
        <v>#N/A</v>
      </c>
      <c r="R71" s="247" t="e">
        <f t="shared" si="19"/>
        <v>#VALUE!</v>
      </c>
      <c r="S71" s="247" t="e">
        <f ca="1">'Epi-Curve Model'!J109</f>
        <v>#N/A</v>
      </c>
      <c r="T71" s="78" t="e">
        <f ca="1">'Epi-Curve Model'!K109</f>
        <v>#N/A</v>
      </c>
    </row>
    <row r="72" spans="2:20" x14ac:dyDescent="0.25">
      <c r="B72" s="104">
        <f t="shared" si="10"/>
        <v>53</v>
      </c>
      <c r="C72" s="94">
        <v>54</v>
      </c>
      <c r="D72" s="96" t="str">
        <f t="shared" si="11"/>
        <v/>
      </c>
      <c r="E72" s="96">
        <f t="shared" si="12"/>
        <v>0</v>
      </c>
      <c r="F72" s="96">
        <f t="shared" si="13"/>
        <v>1</v>
      </c>
      <c r="G72" s="96">
        <f t="shared" si="14"/>
        <v>0</v>
      </c>
      <c r="H72" s="96">
        <f t="shared" si="6"/>
        <v>2</v>
      </c>
      <c r="I72" s="243">
        <f>'Epi-Curve Model'!E110</f>
        <v>3.7976788656024496E-5</v>
      </c>
      <c r="J72" s="78" t="e">
        <f ca="1">'Epi-Curve Model'!G110</f>
        <v>#N/A</v>
      </c>
      <c r="K72" s="78" t="e">
        <f ca="1">'Epi-Curve Model'!F110</f>
        <v>#N/A</v>
      </c>
      <c r="L72" s="227">
        <f t="shared" si="15"/>
        <v>0.4149152542372882</v>
      </c>
      <c r="M72" s="235">
        <f t="shared" si="16"/>
        <v>0</v>
      </c>
      <c r="N72" s="235">
        <f t="shared" si="18"/>
        <v>0</v>
      </c>
      <c r="O72" s="78" t="str">
        <f>IF(OR(PEP_Decisions!$E$40="",PEP_Decisions!$E$6="",PEP_Decisions!$E$15="",PEP_Decisions!$E$24="",PEP_Decisions!$E$38="No",PEP_Decisions!$E$38="",)," ",IF(K72&gt;0,K72,IF(H72&gt;0,IF(J72*(1-($D$14*L72*N72/$H$9))&lt;0,0,(J72*(1-($D$14*L72*N72/$H$9)))),J72)))</f>
        <v xml:space="preserve"> </v>
      </c>
      <c r="P72" s="78" t="e">
        <f t="shared" ca="1" si="17"/>
        <v>#VALUE!</v>
      </c>
      <c r="Q72" s="78" t="e">
        <f ca="1">'Epi-Curve Model'!I110</f>
        <v>#N/A</v>
      </c>
      <c r="R72" s="247" t="e">
        <f t="shared" si="19"/>
        <v>#VALUE!</v>
      </c>
      <c r="S72" s="247" t="e">
        <f ca="1">'Epi-Curve Model'!J110</f>
        <v>#N/A</v>
      </c>
      <c r="T72" s="78" t="e">
        <f ca="1">'Epi-Curve Model'!K110</f>
        <v>#N/A</v>
      </c>
    </row>
    <row r="73" spans="2:20" x14ac:dyDescent="0.25">
      <c r="B73" s="104">
        <f t="shared" si="10"/>
        <v>54</v>
      </c>
      <c r="C73" s="94">
        <v>55</v>
      </c>
      <c r="D73" s="96" t="str">
        <f t="shared" si="11"/>
        <v/>
      </c>
      <c r="E73" s="96">
        <f t="shared" si="12"/>
        <v>0</v>
      </c>
      <c r="F73" s="96">
        <f t="shared" si="13"/>
        <v>1</v>
      </c>
      <c r="G73" s="96">
        <f t="shared" si="14"/>
        <v>0</v>
      </c>
      <c r="H73" s="96">
        <f t="shared" si="6"/>
        <v>2</v>
      </c>
      <c r="I73" s="243">
        <f>'Epi-Curve Model'!E111</f>
        <v>3.3573637288397684E-5</v>
      </c>
      <c r="J73" s="78" t="e">
        <f ca="1">'Epi-Curve Model'!G111</f>
        <v>#N/A</v>
      </c>
      <c r="K73" s="78" t="e">
        <f ca="1">'Epi-Curve Model'!F111</f>
        <v>#N/A</v>
      </c>
      <c r="L73" s="227">
        <f t="shared" si="15"/>
        <v>0.40576271186440677</v>
      </c>
      <c r="M73" s="235">
        <f t="shared" si="16"/>
        <v>0</v>
      </c>
      <c r="N73" s="235">
        <f t="shared" si="18"/>
        <v>0</v>
      </c>
      <c r="O73" s="78" t="str">
        <f>IF(OR(PEP_Decisions!$E$40="",PEP_Decisions!$E$6="",PEP_Decisions!$E$15="",PEP_Decisions!$E$24="",PEP_Decisions!$E$38="No",PEP_Decisions!$E$38="",)," ",IF(K73&gt;0,K73,IF(H73&gt;0,IF(J73*(1-($D$14*L73*N73/$H$9))&lt;0,0,(J73*(1-($D$14*L73*N73/$H$9)))),J73)))</f>
        <v xml:space="preserve"> </v>
      </c>
      <c r="P73" s="78" t="e">
        <f t="shared" ca="1" si="17"/>
        <v>#VALUE!</v>
      </c>
      <c r="Q73" s="78" t="e">
        <f ca="1">'Epi-Curve Model'!I111</f>
        <v>#N/A</v>
      </c>
      <c r="R73" s="247" t="e">
        <f t="shared" si="19"/>
        <v>#VALUE!</v>
      </c>
      <c r="S73" s="247" t="e">
        <f ca="1">'Epi-Curve Model'!J111</f>
        <v>#N/A</v>
      </c>
      <c r="T73" s="78" t="e">
        <f ca="1">'Epi-Curve Model'!K111</f>
        <v>#N/A</v>
      </c>
    </row>
    <row r="74" spans="2:20" x14ac:dyDescent="0.25">
      <c r="B74" s="104">
        <f t="shared" si="10"/>
        <v>55</v>
      </c>
      <c r="C74" s="94">
        <v>56</v>
      </c>
      <c r="D74" s="96" t="str">
        <f t="shared" si="11"/>
        <v/>
      </c>
      <c r="E74" s="96">
        <f t="shared" si="12"/>
        <v>0</v>
      </c>
      <c r="F74" s="96">
        <f t="shared" si="13"/>
        <v>1</v>
      </c>
      <c r="G74" s="96">
        <f t="shared" si="14"/>
        <v>0</v>
      </c>
      <c r="H74" s="96">
        <f t="shared" si="6"/>
        <v>2</v>
      </c>
      <c r="I74" s="243">
        <f>'Epi-Curve Model'!E112</f>
        <v>2.972042470716918E-5</v>
      </c>
      <c r="J74" s="78" t="e">
        <f ca="1">'Epi-Curve Model'!G112</f>
        <v>#N/A</v>
      </c>
      <c r="K74" s="78" t="e">
        <f ca="1">'Epi-Curve Model'!F112</f>
        <v>#N/A</v>
      </c>
      <c r="L74" s="227">
        <f t="shared" si="15"/>
        <v>0.3966101694915255</v>
      </c>
      <c r="M74" s="235">
        <f t="shared" si="16"/>
        <v>0</v>
      </c>
      <c r="N74" s="235">
        <f t="shared" si="18"/>
        <v>0</v>
      </c>
      <c r="O74" s="78" t="str">
        <f>IF(OR(PEP_Decisions!$E$40="",PEP_Decisions!$E$6="",PEP_Decisions!$E$15="",PEP_Decisions!$E$24="",PEP_Decisions!$E$38="No",PEP_Decisions!$E$38="",)," ",IF(K74&gt;0,K74,IF(H74&gt;0,IF(J74*(1-($D$14*L74*N74/$H$9))&lt;0,0,(J74*(1-($D$14*L74*N74/$H$9)))),J74)))</f>
        <v xml:space="preserve"> </v>
      </c>
      <c r="P74" s="78" t="e">
        <f t="shared" ca="1" si="17"/>
        <v>#VALUE!</v>
      </c>
      <c r="Q74" s="78" t="e">
        <f ca="1">'Epi-Curve Model'!I112</f>
        <v>#N/A</v>
      </c>
      <c r="R74" s="247" t="e">
        <f t="shared" si="19"/>
        <v>#VALUE!</v>
      </c>
      <c r="S74" s="247" t="e">
        <f ca="1">'Epi-Curve Model'!J112</f>
        <v>#N/A</v>
      </c>
      <c r="T74" s="78" t="e">
        <f ca="1">'Epi-Curve Model'!K112</f>
        <v>#N/A</v>
      </c>
    </row>
    <row r="75" spans="2:20" x14ac:dyDescent="0.25">
      <c r="B75" s="104">
        <f t="shared" si="10"/>
        <v>56</v>
      </c>
      <c r="C75" s="94">
        <v>57</v>
      </c>
      <c r="D75" s="96" t="str">
        <f t="shared" si="11"/>
        <v/>
      </c>
      <c r="E75" s="96">
        <f t="shared" si="12"/>
        <v>0</v>
      </c>
      <c r="F75" s="96">
        <f t="shared" si="13"/>
        <v>1</v>
      </c>
      <c r="G75" s="96">
        <f t="shared" si="14"/>
        <v>0</v>
      </c>
      <c r="H75" s="96">
        <f t="shared" si="6"/>
        <v>2</v>
      </c>
      <c r="I75" s="243">
        <f>'Epi-Curve Model'!E113</f>
        <v>2.6343563384600976E-5</v>
      </c>
      <c r="J75" s="78" t="e">
        <f ca="1">'Epi-Curve Model'!G113</f>
        <v>#N/A</v>
      </c>
      <c r="K75" s="78" t="e">
        <f ca="1">'Epi-Curve Model'!F113</f>
        <v>#N/A</v>
      </c>
      <c r="L75" s="227">
        <f t="shared" si="15"/>
        <v>0.38745762711864418</v>
      </c>
      <c r="M75" s="235">
        <f t="shared" si="16"/>
        <v>0</v>
      </c>
      <c r="N75" s="235">
        <f t="shared" si="18"/>
        <v>0</v>
      </c>
      <c r="O75" s="78" t="str">
        <f>IF(OR(PEP_Decisions!$E$40="",PEP_Decisions!$E$6="",PEP_Decisions!$E$15="",PEP_Decisions!$E$24="",PEP_Decisions!$E$38="No",PEP_Decisions!$E$38="",)," ",IF(K75&gt;0,K75,IF(H75&gt;0,IF(J75*(1-($D$14*L75*N75/$H$9))&lt;0,0,(J75*(1-($D$14*L75*N75/$H$9)))),J75)))</f>
        <v xml:space="preserve"> </v>
      </c>
      <c r="P75" s="78" t="e">
        <f t="shared" ca="1" si="17"/>
        <v>#VALUE!</v>
      </c>
      <c r="Q75" s="78" t="e">
        <f ca="1">'Epi-Curve Model'!I113</f>
        <v>#N/A</v>
      </c>
      <c r="R75" s="247" t="e">
        <f t="shared" si="19"/>
        <v>#VALUE!</v>
      </c>
      <c r="S75" s="247" t="e">
        <f ca="1">'Epi-Curve Model'!J113</f>
        <v>#N/A</v>
      </c>
      <c r="T75" s="78" t="e">
        <f ca="1">'Epi-Curve Model'!K113</f>
        <v>#N/A</v>
      </c>
    </row>
    <row r="76" spans="2:20" x14ac:dyDescent="0.25">
      <c r="B76" s="104">
        <f t="shared" si="10"/>
        <v>57</v>
      </c>
      <c r="C76" s="94">
        <v>58</v>
      </c>
      <c r="D76" s="96" t="str">
        <f t="shared" si="11"/>
        <v/>
      </c>
      <c r="E76" s="96">
        <f t="shared" si="12"/>
        <v>0</v>
      </c>
      <c r="F76" s="96">
        <f t="shared" si="13"/>
        <v>1</v>
      </c>
      <c r="G76" s="96">
        <f t="shared" si="14"/>
        <v>0</v>
      </c>
      <c r="H76" s="96">
        <f t="shared" si="6"/>
        <v>2</v>
      </c>
      <c r="I76" s="243">
        <f>'Epi-Curve Model'!E114</f>
        <v>2.3379963080660815E-5</v>
      </c>
      <c r="J76" s="78" t="e">
        <f ca="1">'Epi-Curve Model'!G114</f>
        <v>#N/A</v>
      </c>
      <c r="K76" s="78" t="e">
        <f ca="1">'Epi-Curve Model'!F114</f>
        <v>#N/A</v>
      </c>
      <c r="L76" s="227">
        <f t="shared" si="15"/>
        <v>0.37830508474576274</v>
      </c>
      <c r="M76" s="235">
        <f t="shared" si="16"/>
        <v>0</v>
      </c>
      <c r="N76" s="235">
        <f t="shared" si="18"/>
        <v>0</v>
      </c>
      <c r="O76" s="78" t="str">
        <f>IF(OR(PEP_Decisions!$E$40="",PEP_Decisions!$E$6="",PEP_Decisions!$E$15="",PEP_Decisions!$E$24="",PEP_Decisions!$E$38="No",PEP_Decisions!$E$38="",)," ",IF(K76&gt;0,K76,IF(H76&gt;0,IF(J76*(1-($D$14*L76*N76/$H$9))&lt;0,0,(J76*(1-($D$14*L76*N76/$H$9)))),J76)))</f>
        <v xml:space="preserve"> </v>
      </c>
      <c r="P76" s="78" t="e">
        <f t="shared" ca="1" si="17"/>
        <v>#VALUE!</v>
      </c>
      <c r="Q76" s="78" t="e">
        <f ca="1">'Epi-Curve Model'!I114</f>
        <v>#N/A</v>
      </c>
      <c r="R76" s="247" t="e">
        <f t="shared" si="19"/>
        <v>#VALUE!</v>
      </c>
      <c r="S76" s="247" t="e">
        <f ca="1">'Epi-Curve Model'!J114</f>
        <v>#N/A</v>
      </c>
      <c r="T76" s="78" t="e">
        <f ca="1">'Epi-Curve Model'!K114</f>
        <v>#N/A</v>
      </c>
    </row>
    <row r="77" spans="2:20" x14ac:dyDescent="0.25">
      <c r="B77" s="104">
        <f t="shared" si="10"/>
        <v>58</v>
      </c>
      <c r="C77" s="94">
        <v>59</v>
      </c>
      <c r="D77" s="96" t="str">
        <f t="shared" si="11"/>
        <v/>
      </c>
      <c r="E77" s="96">
        <f t="shared" si="12"/>
        <v>0</v>
      </c>
      <c r="F77" s="96">
        <f t="shared" si="13"/>
        <v>1</v>
      </c>
      <c r="G77" s="96">
        <f t="shared" si="14"/>
        <v>0</v>
      </c>
      <c r="H77" s="96">
        <f t="shared" si="6"/>
        <v>2</v>
      </c>
      <c r="I77" s="243">
        <f>'Epi-Curve Model'!E115</f>
        <v>2.0775441703202446E-5</v>
      </c>
      <c r="J77" s="78" t="e">
        <f ca="1">'Epi-Curve Model'!G115</f>
        <v>#N/A</v>
      </c>
      <c r="K77" s="78" t="e">
        <f ca="1">'Epi-Curve Model'!F115</f>
        <v>#N/A</v>
      </c>
      <c r="L77" s="227">
        <f t="shared" si="15"/>
        <v>0.36915254237288142</v>
      </c>
      <c r="M77" s="235">
        <f t="shared" si="16"/>
        <v>0</v>
      </c>
      <c r="N77" s="235">
        <f t="shared" si="18"/>
        <v>0</v>
      </c>
      <c r="O77" s="78" t="str">
        <f>IF(OR(PEP_Decisions!$E$40="",PEP_Decisions!$E$6="",PEP_Decisions!$E$15="",PEP_Decisions!$E$24="",PEP_Decisions!$E$38="No",PEP_Decisions!$E$38="",)," ",IF(K77&gt;0,K77,IF(H77&gt;0,IF(J77*(1-($D$14*L77*N77/$H$9))&lt;0,0,(J77*(1-($D$14*L77*N77/$H$9)))),J77)))</f>
        <v xml:space="preserve"> </v>
      </c>
      <c r="P77" s="78" t="e">
        <f t="shared" ca="1" si="17"/>
        <v>#VALUE!</v>
      </c>
      <c r="Q77" s="78" t="e">
        <f ca="1">'Epi-Curve Model'!I115</f>
        <v>#N/A</v>
      </c>
      <c r="R77" s="247" t="e">
        <f t="shared" si="19"/>
        <v>#VALUE!</v>
      </c>
      <c r="S77" s="247" t="e">
        <f ca="1">'Epi-Curve Model'!J115</f>
        <v>#N/A</v>
      </c>
      <c r="T77" s="78" t="e">
        <f ca="1">'Epi-Curve Model'!K115</f>
        <v>#N/A</v>
      </c>
    </row>
    <row r="78" spans="2:20" ht="13.8" thickBot="1" x14ac:dyDescent="0.3">
      <c r="B78" s="104">
        <f t="shared" si="10"/>
        <v>59</v>
      </c>
      <c r="C78" s="94">
        <v>60</v>
      </c>
      <c r="D78" s="96" t="str">
        <f t="shared" si="11"/>
        <v/>
      </c>
      <c r="E78" s="96">
        <f t="shared" si="12"/>
        <v>0</v>
      </c>
      <c r="F78" s="96">
        <f t="shared" si="13"/>
        <v>1</v>
      </c>
      <c r="G78" s="96">
        <f t="shared" si="14"/>
        <v>0</v>
      </c>
      <c r="H78" s="96">
        <f t="shared" si="6"/>
        <v>2</v>
      </c>
      <c r="I78" s="243">
        <f>'Epi-Curve Model'!E116</f>
        <v>1.848339041277125E-5</v>
      </c>
      <c r="J78" s="78" t="e">
        <f ca="1">'Epi-Curve Model'!G116</f>
        <v>#N/A</v>
      </c>
      <c r="K78" s="78" t="e">
        <f ca="1">'Epi-Curve Model'!F116</f>
        <v>#N/A</v>
      </c>
      <c r="L78" s="227">
        <f t="shared" si="15"/>
        <v>0.36000000000000004</v>
      </c>
      <c r="M78" s="235">
        <f t="shared" si="16"/>
        <v>0</v>
      </c>
      <c r="N78" s="235">
        <f t="shared" si="18"/>
        <v>0</v>
      </c>
      <c r="O78" s="78" t="str">
        <f>IF(OR(PEP_Decisions!$E$40="",PEP_Decisions!$E$6="",PEP_Decisions!$E$15="",PEP_Decisions!$E$24="",PEP_Decisions!$E$38="No",PEP_Decisions!$E$38="",)," ",IF(K78&gt;0,K78,IF(H78&gt;0,IF(J78*(1-($D$14*L78*N78/$H$9))&lt;0,0,(J78*(1-($D$14*L78*N78/$H$9)))),J78)))</f>
        <v xml:space="preserve"> </v>
      </c>
      <c r="P78" s="78" t="e">
        <f t="shared" ca="1" si="17"/>
        <v>#VALUE!</v>
      </c>
      <c r="Q78" s="78" t="e">
        <f ca="1">'Epi-Curve Model'!I116</f>
        <v>#N/A</v>
      </c>
      <c r="R78" s="247" t="e">
        <f t="shared" si="19"/>
        <v>#VALUE!</v>
      </c>
      <c r="S78" s="247" t="e">
        <f ca="1">'Epi-Curve Model'!J116</f>
        <v>#N/A</v>
      </c>
      <c r="T78" s="78" t="e">
        <f ca="1">'Epi-Curve Model'!K116</f>
        <v>#N/A</v>
      </c>
    </row>
    <row r="79" spans="2:20" ht="39.6" x14ac:dyDescent="0.25">
      <c r="B79" s="104"/>
      <c r="C79" s="94"/>
      <c r="D79" s="96"/>
      <c r="E79" s="96"/>
      <c r="F79" s="96"/>
      <c r="G79" s="96"/>
      <c r="H79" s="96"/>
      <c r="I79" s="243"/>
      <c r="J79" s="185" t="s">
        <v>175</v>
      </c>
      <c r="K79" s="186"/>
      <c r="L79" s="186"/>
      <c r="M79" s="186"/>
      <c r="N79" s="236" t="s">
        <v>183</v>
      </c>
      <c r="O79" s="187" t="s">
        <v>176</v>
      </c>
      <c r="P79" s="191" t="e">
        <f ca="1">SUM(P19:P78)</f>
        <v>#VALUE!</v>
      </c>
      <c r="Q79" s="78"/>
      <c r="R79" s="78"/>
      <c r="S79" s="78"/>
      <c r="T79" s="78"/>
    </row>
    <row r="80" spans="2:20" ht="39" customHeight="1" thickBot="1" x14ac:dyDescent="0.3">
      <c r="C80" s="78" t="s">
        <v>202</v>
      </c>
      <c r="J80" s="188" t="e">
        <f ca="1">SUM(J19:J78)</f>
        <v>#N/A</v>
      </c>
      <c r="K80" s="189"/>
      <c r="L80" s="189"/>
      <c r="M80" s="189"/>
      <c r="N80" s="237">
        <f>N78</f>
        <v>0</v>
      </c>
      <c r="O80" s="190">
        <f>SUM(O19:O78)</f>
        <v>0</v>
      </c>
      <c r="P80" s="192"/>
    </row>
    <row r="83" spans="11:11" x14ac:dyDescent="0.25">
      <c r="K83" s="227"/>
    </row>
  </sheetData>
  <mergeCells count="7">
    <mergeCell ref="B2:N2"/>
    <mergeCell ref="B3:N3"/>
    <mergeCell ref="W7:W9"/>
    <mergeCell ref="J6:J8"/>
    <mergeCell ref="L6:L8"/>
    <mergeCell ref="K6:K8"/>
    <mergeCell ref="M6:M8"/>
  </mergeCells>
  <conditionalFormatting sqref="D19:F78">
    <cfRule type="cellIs" dxfId="5" priority="2" operator="equal">
      <formula>1</formula>
    </cfRule>
  </conditionalFormatting>
  <conditionalFormatting sqref="E7:H7 E14:H14">
    <cfRule type="expression" dxfId="4" priority="1">
      <formula>$D$7="no"</formula>
    </cfRule>
  </conditionalFormatting>
  <hyperlinks>
    <hyperlink ref="J6:J8" location="'TABLE OF CONTENTS'!A1" display="Table of Contents"/>
    <hyperlink ref="L6:L8" location="INCUBATION!A1" display="Incubation Period Settings"/>
    <hyperlink ref="K6:K8" location="Timeline!A1" display="Timeline"/>
    <hyperlink ref="M6:M8" location="PEP_Decisions!A1" display="PEP Decisions"/>
  </hyperlinks>
  <pageMargins left="0.7" right="0.7" top="0.75" bottom="0.75" header="0.3" footer="0.3"/>
  <pageSetup orientation="portrait" horizontalDpi="4294967294"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79998168889431442"/>
  </sheetPr>
  <dimension ref="A1:BA198"/>
  <sheetViews>
    <sheetView zoomScale="110" zoomScaleNormal="110" workbookViewId="0"/>
  </sheetViews>
  <sheetFormatPr defaultRowHeight="13.2" x14ac:dyDescent="0.25"/>
  <cols>
    <col min="1" max="1" width="2" customWidth="1"/>
    <col min="2" max="2" width="10" customWidth="1"/>
    <col min="3" max="3" width="25.5546875" customWidth="1"/>
    <col min="4" max="4" width="17.5546875" customWidth="1"/>
    <col min="5" max="5" width="13.88671875" customWidth="1"/>
    <col min="6" max="6" width="16.109375" customWidth="1"/>
    <col min="7" max="7" width="15" customWidth="1"/>
    <col min="8" max="8" width="14.33203125" customWidth="1"/>
    <col min="9" max="9" width="21" customWidth="1"/>
    <col min="10" max="10" width="19.88671875" customWidth="1"/>
    <col min="11" max="11" width="16.6640625" customWidth="1"/>
    <col min="12" max="12" width="16.44140625" customWidth="1"/>
    <col min="13" max="15" width="16.44140625" style="248" customWidth="1"/>
    <col min="16" max="19" width="22.88671875" style="248" customWidth="1"/>
    <col min="20" max="20" width="19.88671875" style="248" customWidth="1"/>
    <col min="21" max="21" width="20.6640625" style="248" customWidth="1"/>
    <col min="22" max="22" width="16.109375" customWidth="1"/>
    <col min="23" max="23" width="19.88671875" customWidth="1"/>
    <col min="24" max="24" width="15.88671875" customWidth="1"/>
    <col min="25" max="25" width="13.33203125" customWidth="1"/>
    <col min="26" max="26" width="16.5546875" customWidth="1"/>
    <col min="27" max="27" width="20.88671875" customWidth="1"/>
    <col min="28" max="28" width="22.6640625" customWidth="1"/>
    <col min="29" max="30" width="20.5546875" customWidth="1"/>
    <col min="31" max="31" width="21.6640625" customWidth="1"/>
    <col min="32" max="32" width="20" customWidth="1"/>
    <col min="33" max="33" width="18.33203125" customWidth="1"/>
    <col min="34" max="34" width="19.33203125" style="248" customWidth="1"/>
    <col min="35" max="36" width="20.6640625" customWidth="1"/>
    <col min="37" max="37" width="13.44140625" bestFit="1" customWidth="1"/>
    <col min="38" max="38" width="13.44140625" customWidth="1"/>
    <col min="39" max="40" width="19.88671875" customWidth="1"/>
    <col min="41" max="42" width="22.44140625" customWidth="1"/>
    <col min="43" max="43" width="14" customWidth="1"/>
    <col min="44" max="46" width="16.109375" customWidth="1"/>
    <col min="47" max="48" width="19.6640625" customWidth="1"/>
    <col min="49" max="49" width="17.109375" customWidth="1"/>
    <col min="50" max="50" width="13.5546875" customWidth="1"/>
    <col min="52" max="52" width="22.33203125" customWidth="1"/>
    <col min="53" max="53" width="11.44140625" customWidth="1"/>
  </cols>
  <sheetData>
    <row r="1" spans="2:34" ht="13.8" thickBot="1" x14ac:dyDescent="0.3"/>
    <row r="2" spans="2:34" x14ac:dyDescent="0.25">
      <c r="B2" s="1275" t="s">
        <v>534</v>
      </c>
      <c r="C2" s="1276"/>
      <c r="D2" s="1276"/>
      <c r="E2" s="1276"/>
      <c r="F2" s="1276"/>
      <c r="G2" s="1276"/>
      <c r="H2" s="1276"/>
      <c r="I2" s="1276"/>
      <c r="J2" s="1276"/>
      <c r="K2" s="1277"/>
      <c r="L2" s="75"/>
      <c r="M2" s="244"/>
      <c r="N2" s="244"/>
      <c r="O2" s="244"/>
      <c r="AD2" s="248"/>
      <c r="AH2"/>
    </row>
    <row r="3" spans="2:34" ht="19.5" customHeight="1" x14ac:dyDescent="0.25">
      <c r="B3" s="1278"/>
      <c r="C3" s="1279"/>
      <c r="D3" s="1279"/>
      <c r="E3" s="1279"/>
      <c r="F3" s="1279"/>
      <c r="G3" s="1279"/>
      <c r="H3" s="1279"/>
      <c r="I3" s="1279"/>
      <c r="J3" s="1279"/>
      <c r="K3" s="1280"/>
      <c r="L3" s="75"/>
      <c r="M3" s="244"/>
      <c r="N3" s="244"/>
      <c r="O3" s="244"/>
      <c r="AD3" s="248"/>
      <c r="AH3"/>
    </row>
    <row r="4" spans="2:34" ht="15.75" customHeight="1" thickBot="1" x14ac:dyDescent="0.3">
      <c r="B4" s="1281"/>
      <c r="C4" s="1282"/>
      <c r="D4" s="1282"/>
      <c r="E4" s="1282"/>
      <c r="F4" s="1282"/>
      <c r="G4" s="1282"/>
      <c r="H4" s="1282"/>
      <c r="I4" s="1282"/>
      <c r="J4" s="1282"/>
      <c r="K4" s="1283"/>
      <c r="L4" s="75"/>
      <c r="M4" s="244"/>
      <c r="N4" s="244"/>
      <c r="O4" s="244"/>
      <c r="AD4" s="248"/>
      <c r="AH4"/>
    </row>
    <row r="5" spans="2:34" ht="15" customHeight="1" thickBot="1" x14ac:dyDescent="0.3">
      <c r="L5" s="75"/>
      <c r="M5" s="244"/>
      <c r="N5" s="244"/>
      <c r="O5" s="244"/>
      <c r="AD5" s="248"/>
      <c r="AH5"/>
    </row>
    <row r="6" spans="2:34" ht="10.5" customHeight="1" thickBot="1" x14ac:dyDescent="0.3">
      <c r="B6" s="222"/>
      <c r="C6" s="195"/>
      <c r="D6" s="195"/>
      <c r="E6" s="239"/>
      <c r="F6" s="195"/>
      <c r="G6" s="195"/>
      <c r="H6" s="195"/>
      <c r="I6" s="195"/>
      <c r="J6" s="195"/>
      <c r="K6" s="196"/>
      <c r="L6" s="75"/>
      <c r="M6" s="244"/>
      <c r="N6" s="244"/>
      <c r="O6" s="244"/>
      <c r="AD6" s="248"/>
      <c r="AH6"/>
    </row>
    <row r="7" spans="2:34" ht="13.8" thickBot="1" x14ac:dyDescent="0.3">
      <c r="B7" s="198"/>
      <c r="C7" s="199" t="s">
        <v>197</v>
      </c>
      <c r="D7" s="257"/>
      <c r="E7" s="303"/>
      <c r="F7" s="1070" t="s">
        <v>121</v>
      </c>
      <c r="G7" s="1112" t="s">
        <v>158</v>
      </c>
      <c r="H7" s="1272" t="s">
        <v>510</v>
      </c>
      <c r="I7" s="1248" t="s">
        <v>511</v>
      </c>
      <c r="J7" s="1106" t="s">
        <v>504</v>
      </c>
      <c r="K7" s="197"/>
      <c r="L7" s="75"/>
      <c r="M7" s="244"/>
      <c r="N7" s="244"/>
      <c r="O7" s="244"/>
      <c r="AD7" s="248"/>
      <c r="AH7"/>
    </row>
    <row r="8" spans="2:34" ht="13.8" thickBot="1" x14ac:dyDescent="0.3">
      <c r="B8" s="198"/>
      <c r="C8" s="526" t="s">
        <v>568</v>
      </c>
      <c r="D8" s="527" t="e">
        <f>IF(IMPACT_ON_HLTHCARE!F11="",IMPACT_ON_HLTHCARE!H11,IMPACT_ON_HLTHCARE!F11)</f>
        <v>#N/A</v>
      </c>
      <c r="E8" s="307"/>
      <c r="F8" s="1111"/>
      <c r="G8" s="1113"/>
      <c r="H8" s="1273"/>
      <c r="I8" s="1249"/>
      <c r="J8" s="1107"/>
      <c r="K8" s="197"/>
      <c r="L8" s="75"/>
      <c r="M8" s="244"/>
      <c r="N8" s="244"/>
      <c r="O8" s="244"/>
      <c r="AD8" s="248"/>
      <c r="AH8"/>
    </row>
    <row r="9" spans="2:34" ht="28.5" customHeight="1" thickBot="1" x14ac:dyDescent="0.3">
      <c r="B9" s="198"/>
      <c r="C9" s="1287" t="s">
        <v>378</v>
      </c>
      <c r="D9" s="1288"/>
      <c r="E9" s="306"/>
      <c r="F9" s="1071"/>
      <c r="G9" s="1114"/>
      <c r="H9" s="1274"/>
      <c r="I9" s="1250"/>
      <c r="J9" s="1108"/>
      <c r="K9" s="197"/>
      <c r="L9" s="75"/>
      <c r="M9" s="244"/>
      <c r="N9" s="244"/>
      <c r="O9" s="244"/>
      <c r="AD9" s="248"/>
      <c r="AH9"/>
    </row>
    <row r="10" spans="2:34" ht="15.6" x14ac:dyDescent="0.25">
      <c r="B10" s="198"/>
      <c r="C10" s="309" t="s">
        <v>230</v>
      </c>
      <c r="D10" s="310" t="s">
        <v>229</v>
      </c>
      <c r="E10" s="306"/>
      <c r="F10" s="75"/>
      <c r="G10" s="75"/>
      <c r="H10" s="75"/>
      <c r="I10" s="75"/>
      <c r="J10" s="862"/>
      <c r="K10" s="197"/>
      <c r="L10" s="75"/>
      <c r="M10" s="244"/>
      <c r="N10" s="244"/>
      <c r="O10" s="244"/>
      <c r="P10" s="244"/>
      <c r="Q10" s="244"/>
      <c r="R10" s="244"/>
      <c r="S10" s="244"/>
      <c r="U10" s="244"/>
      <c r="V10" s="75"/>
      <c r="W10" s="75"/>
      <c r="X10" s="75"/>
      <c r="Y10" s="75"/>
      <c r="Z10" s="75"/>
      <c r="AA10" s="75"/>
      <c r="AD10" s="248"/>
      <c r="AH10"/>
    </row>
    <row r="11" spans="2:34" ht="16.2" thickBot="1" x14ac:dyDescent="0.3">
      <c r="B11" s="302" t="s">
        <v>231</v>
      </c>
      <c r="C11" s="534">
        <f>IMPACT_ON_HLTHCARE!E18</f>
        <v>0.4</v>
      </c>
      <c r="D11" s="535">
        <f>IMPACT_ON_HLTHCARE!H18</f>
        <v>0.8</v>
      </c>
      <c r="E11" s="306"/>
      <c r="F11" s="199" t="s">
        <v>234</v>
      </c>
      <c r="G11" s="199"/>
      <c r="H11" s="75"/>
      <c r="I11" s="75"/>
      <c r="J11" s="862"/>
      <c r="K11" s="197"/>
      <c r="L11" s="75"/>
      <c r="M11" s="244"/>
      <c r="N11" s="244"/>
      <c r="O11" s="244"/>
      <c r="AD11" s="248"/>
      <c r="AH11"/>
    </row>
    <row r="12" spans="2:34" ht="13.8" thickBot="1" x14ac:dyDescent="0.3">
      <c r="B12" s="302" t="s">
        <v>232</v>
      </c>
      <c r="C12" s="536">
        <f>IMPACT_ON_HLTHCARE!E19</f>
        <v>0.95</v>
      </c>
      <c r="D12" s="537">
        <f>IMPACT_ON_HLTHCARE!H19</f>
        <v>0.95</v>
      </c>
      <c r="E12" s="306"/>
      <c r="F12" s="826"/>
      <c r="G12" s="827" t="s">
        <v>236</v>
      </c>
      <c r="H12" s="828" t="e">
        <f ca="1">AK197</f>
        <v>#N/A</v>
      </c>
      <c r="I12" s="829" t="str">
        <f>IF(D26="from Epi-Curve Model","Without PEP Campaign","With PEP Campaign")</f>
        <v>Without PEP Campaign</v>
      </c>
      <c r="J12" s="830"/>
      <c r="K12" s="197"/>
      <c r="L12" s="75"/>
      <c r="M12" s="244"/>
      <c r="N12" s="244"/>
      <c r="O12" s="244"/>
      <c r="AD12" s="248"/>
      <c r="AH12"/>
    </row>
    <row r="13" spans="2:34" ht="28.5" customHeight="1" thickBot="1" x14ac:dyDescent="0.3">
      <c r="B13" s="791"/>
      <c r="C13" s="872" t="s">
        <v>569</v>
      </c>
      <c r="D13" s="873">
        <f>IMPACT_ON_HLTHCARE!E32</f>
        <v>0.5</v>
      </c>
      <c r="E13" s="306"/>
      <c r="F13" s="831"/>
      <c r="G13" s="832" t="s">
        <v>235</v>
      </c>
      <c r="H13" s="833">
        <f>IF($D$26="from Epi-Curve Model",0,AK107)</f>
        <v>0</v>
      </c>
      <c r="I13" s="834" t="s">
        <v>389</v>
      </c>
      <c r="J13" s="835" t="e">
        <f ca="1">AB107</f>
        <v>#N/A</v>
      </c>
      <c r="K13" s="197"/>
    </row>
    <row r="14" spans="2:34" ht="13.8" thickBot="1" x14ac:dyDescent="0.3">
      <c r="B14" s="791"/>
      <c r="C14" s="528" t="s">
        <v>377</v>
      </c>
      <c r="D14" s="529">
        <v>0.2</v>
      </c>
      <c r="E14" s="306"/>
      <c r="F14" s="831"/>
      <c r="G14" s="836" t="s">
        <v>387</v>
      </c>
      <c r="H14" s="837">
        <f>IF(H13=0,0,H12-H13)</f>
        <v>0</v>
      </c>
      <c r="I14" s="834" t="s">
        <v>391</v>
      </c>
      <c r="J14" s="838" t="e">
        <f ca="1">BA25</f>
        <v>#N/A</v>
      </c>
      <c r="K14" s="197"/>
    </row>
    <row r="15" spans="2:34" ht="14.4" thickBot="1" x14ac:dyDescent="0.3">
      <c r="B15" s="702"/>
      <c r="C15" s="703" t="s">
        <v>233</v>
      </c>
      <c r="D15" s="704"/>
      <c r="E15" s="306"/>
      <c r="F15" s="839"/>
      <c r="G15" s="840" t="s">
        <v>394</v>
      </c>
      <c r="H15" s="841" t="e">
        <f ca="1">1-((H12-H14)/H12)</f>
        <v>#N/A</v>
      </c>
      <c r="I15" s="842" t="s">
        <v>390</v>
      </c>
      <c r="J15" s="843" t="e">
        <f ca="1">MAX(AU28:AU107)</f>
        <v>#N/A</v>
      </c>
      <c r="K15" s="197"/>
      <c r="L15" s="77"/>
      <c r="M15" s="887"/>
      <c r="N15" s="887"/>
      <c r="O15" s="887"/>
      <c r="U15" s="887"/>
    </row>
    <row r="16" spans="2:34" x14ac:dyDescent="0.25">
      <c r="B16" s="198"/>
      <c r="C16" s="530" t="s">
        <v>227</v>
      </c>
      <c r="D16" s="531" t="s">
        <v>228</v>
      </c>
      <c r="E16" s="75"/>
      <c r="F16" s="75"/>
      <c r="G16" s="75"/>
      <c r="H16" s="871"/>
      <c r="I16" s="75"/>
      <c r="J16" s="75"/>
      <c r="K16" s="197"/>
      <c r="L16" s="77"/>
      <c r="M16" s="887"/>
      <c r="N16" s="887"/>
      <c r="O16" s="887"/>
      <c r="U16" s="887"/>
    </row>
    <row r="17" spans="2:53" ht="13.8" thickBot="1" x14ac:dyDescent="0.3">
      <c r="B17" s="228"/>
      <c r="C17" s="532">
        <f>IMPACT_ON_HLTHCARE!E28</f>
        <v>0.8</v>
      </c>
      <c r="D17" s="533">
        <f>IMPACT_ON_HLTHCARE!E29</f>
        <v>0.2</v>
      </c>
      <c r="E17" s="229"/>
      <c r="F17" s="229"/>
      <c r="G17" s="229"/>
      <c r="H17" s="229"/>
      <c r="I17" s="229"/>
      <c r="J17" s="229"/>
      <c r="K17" s="233"/>
      <c r="L17" s="77"/>
      <c r="M17" s="887"/>
      <c r="N17" s="887"/>
      <c r="O17" s="887"/>
    </row>
    <row r="18" spans="2:53" ht="12.75" customHeight="1" x14ac:dyDescent="0.25">
      <c r="B18" s="459" t="s">
        <v>353</v>
      </c>
      <c r="C18" s="1124" t="s">
        <v>567</v>
      </c>
      <c r="D18" s="1124"/>
      <c r="E18" s="1124"/>
      <c r="F18" s="1124"/>
      <c r="G18" s="1124"/>
      <c r="H18" s="1124"/>
      <c r="I18" s="1124"/>
      <c r="J18" s="1124"/>
      <c r="K18" s="1124"/>
      <c r="L18" s="861"/>
      <c r="M18" s="877"/>
      <c r="N18" s="877"/>
      <c r="O18" s="877"/>
      <c r="P18" s="877"/>
      <c r="Q18" s="877"/>
      <c r="R18" s="877"/>
      <c r="S18" s="877"/>
      <c r="U18" s="877"/>
    </row>
    <row r="19" spans="2:53" x14ac:dyDescent="0.25">
      <c r="B19" s="459"/>
      <c r="C19" s="1124"/>
      <c r="D19" s="1124"/>
      <c r="E19" s="1124"/>
      <c r="F19" s="1124"/>
      <c r="G19" s="1124"/>
      <c r="H19" s="1124"/>
      <c r="I19" s="1124"/>
      <c r="J19" s="1124"/>
      <c r="K19" s="1124"/>
      <c r="L19" s="861"/>
      <c r="M19" s="877"/>
      <c r="N19" s="877"/>
      <c r="O19" s="877"/>
      <c r="P19" s="877"/>
      <c r="Q19" s="877"/>
      <c r="R19" s="877"/>
      <c r="S19" s="877"/>
      <c r="U19" s="877"/>
      <c r="AG19" s="308"/>
    </row>
    <row r="20" spans="2:53" x14ac:dyDescent="0.25">
      <c r="B20" s="459"/>
      <c r="C20" s="861"/>
      <c r="D20" s="861"/>
      <c r="E20" s="861"/>
      <c r="F20" s="861"/>
      <c r="G20" s="861"/>
      <c r="H20" s="861"/>
      <c r="I20" s="861"/>
      <c r="J20" s="861"/>
      <c r="K20" s="861"/>
      <c r="L20" s="861"/>
      <c r="M20" s="877"/>
      <c r="N20" s="877"/>
      <c r="P20" s="877"/>
      <c r="Q20" s="877"/>
      <c r="R20" s="877"/>
      <c r="S20" s="877"/>
      <c r="U20" s="877"/>
      <c r="AG20" s="308"/>
      <c r="AQ20" s="248"/>
      <c r="AR20" s="17"/>
      <c r="AS20" s="17"/>
      <c r="AT20" s="17"/>
      <c r="AU20" s="17"/>
      <c r="AV20" s="17"/>
      <c r="AW20" s="17"/>
      <c r="AX20" s="17"/>
      <c r="AY20" s="17"/>
      <c r="AZ20" s="17"/>
      <c r="BA20" s="17"/>
    </row>
    <row r="21" spans="2:53" ht="18" thickBot="1" x14ac:dyDescent="0.35">
      <c r="B21" s="542" t="s">
        <v>396</v>
      </c>
      <c r="C21" s="539"/>
      <c r="AH21"/>
    </row>
    <row r="22" spans="2:53" s="76" customFormat="1" ht="12.75" hidden="1" customHeight="1" x14ac:dyDescent="0.25">
      <c r="D22" s="76">
        <v>1</v>
      </c>
      <c r="E22" s="76">
        <v>5</v>
      </c>
      <c r="F22" s="76">
        <v>2</v>
      </c>
      <c r="H22" s="76">
        <v>3</v>
      </c>
      <c r="I22" s="375">
        <v>3.1</v>
      </c>
      <c r="J22" s="385"/>
      <c r="K22" s="375">
        <v>3.1</v>
      </c>
      <c r="L22" s="375">
        <v>4</v>
      </c>
      <c r="M22" s="404"/>
      <c r="N22" s="404"/>
      <c r="O22" s="404"/>
      <c r="P22" s="404">
        <v>4</v>
      </c>
      <c r="Q22" s="404"/>
      <c r="R22" s="404"/>
      <c r="S22" s="404"/>
      <c r="T22" s="404">
        <v>6.1</v>
      </c>
      <c r="U22" s="404"/>
      <c r="V22" s="375">
        <v>3</v>
      </c>
      <c r="W22" s="412"/>
      <c r="Y22" s="76">
        <v>3</v>
      </c>
      <c r="Z22" s="76">
        <v>3.1</v>
      </c>
      <c r="AD22" s="76">
        <v>3.1</v>
      </c>
      <c r="AE22" s="76">
        <v>3.1</v>
      </c>
      <c r="AF22" s="76">
        <v>5</v>
      </c>
      <c r="AG22" s="76">
        <v>5</v>
      </c>
      <c r="AH22" s="76">
        <v>5.0999999999999996</v>
      </c>
      <c r="AI22" s="76">
        <v>5.0999999999999996</v>
      </c>
      <c r="AK22" s="76">
        <v>6</v>
      </c>
      <c r="AM22" s="76">
        <v>6</v>
      </c>
    </row>
    <row r="23" spans="2:53" ht="28.5" hidden="1" customHeight="1" thickBot="1" x14ac:dyDescent="0.3">
      <c r="D23" s="1284" t="s">
        <v>262</v>
      </c>
      <c r="E23" s="373" t="e">
        <f ca="1">SUM(E27:E106)</f>
        <v>#N/A</v>
      </c>
      <c r="F23" s="395" t="s">
        <v>268</v>
      </c>
      <c r="G23" s="395"/>
      <c r="H23" s="386"/>
      <c r="I23" s="76"/>
      <c r="J23" s="76"/>
      <c r="K23" s="1286" t="s">
        <v>312</v>
      </c>
      <c r="L23" s="1286"/>
      <c r="M23" s="404"/>
      <c r="N23" s="404"/>
      <c r="O23" s="404"/>
      <c r="P23" s="395"/>
      <c r="Q23" s="395"/>
      <c r="R23" s="395"/>
      <c r="S23" s="395"/>
      <c r="T23" s="404"/>
      <c r="U23" s="395"/>
      <c r="V23" s="395"/>
      <c r="W23" s="395"/>
      <c r="X23" s="76"/>
      <c r="Y23" s="76"/>
      <c r="Z23" s="76"/>
      <c r="AA23" s="76"/>
      <c r="AB23" s="76" t="e">
        <f ca="1">SUM(AB27:AB106)</f>
        <v>#N/A</v>
      </c>
      <c r="AC23" s="76"/>
      <c r="AD23" s="76" t="e">
        <f ca="1">SUM(AD27:AD106)</f>
        <v>#N/A</v>
      </c>
      <c r="AE23" s="76"/>
      <c r="AF23" s="76"/>
      <c r="AG23" s="76"/>
      <c r="AH23" s="76"/>
      <c r="AI23" t="e">
        <f ca="1">SUM(AI27:AI106)</f>
        <v>#N/A</v>
      </c>
      <c r="AM23" s="76"/>
      <c r="AN23" s="76"/>
      <c r="AO23" t="e">
        <f ca="1">SUM(AO27:AO105)</f>
        <v>#N/A</v>
      </c>
    </row>
    <row r="24" spans="2:53" s="376" customFormat="1" ht="93.75" customHeight="1" thickBot="1" x14ac:dyDescent="0.3">
      <c r="B24" s="376" t="str">
        <f>'PEP Impact Model'!B18</f>
        <v>Date</v>
      </c>
      <c r="C24" s="377" t="s">
        <v>196</v>
      </c>
      <c r="D24" s="1285"/>
      <c r="E24" s="393" t="s">
        <v>395</v>
      </c>
      <c r="F24" s="372" t="s">
        <v>276</v>
      </c>
      <c r="G24" s="384" t="s">
        <v>324</v>
      </c>
      <c r="H24" s="372" t="s">
        <v>280</v>
      </c>
      <c r="I24" s="372" t="s">
        <v>279</v>
      </c>
      <c r="J24" s="384" t="s">
        <v>325</v>
      </c>
      <c r="K24" s="372" t="s">
        <v>560</v>
      </c>
      <c r="L24" s="372" t="s">
        <v>319</v>
      </c>
      <c r="M24" s="405" t="s">
        <v>565</v>
      </c>
      <c r="N24" s="405" t="s">
        <v>561</v>
      </c>
      <c r="O24" s="405" t="s">
        <v>562</v>
      </c>
      <c r="P24" s="405" t="s">
        <v>269</v>
      </c>
      <c r="Q24" s="405" t="s">
        <v>582</v>
      </c>
      <c r="R24" s="405" t="s">
        <v>559</v>
      </c>
      <c r="S24" s="405" t="s">
        <v>581</v>
      </c>
      <c r="T24" s="405" t="s">
        <v>329</v>
      </c>
      <c r="U24" s="405" t="s">
        <v>331</v>
      </c>
      <c r="V24" s="374" t="s">
        <v>304</v>
      </c>
      <c r="W24" s="411" t="s">
        <v>332</v>
      </c>
      <c r="X24" s="405" t="s">
        <v>272</v>
      </c>
      <c r="Y24" s="374" t="s">
        <v>281</v>
      </c>
      <c r="Z24" s="374" t="s">
        <v>282</v>
      </c>
      <c r="AA24" s="411" t="s">
        <v>333</v>
      </c>
      <c r="AB24" s="878" t="s">
        <v>328</v>
      </c>
      <c r="AC24" s="394" t="s">
        <v>338</v>
      </c>
      <c r="AD24" s="393" t="s">
        <v>283</v>
      </c>
      <c r="AE24" s="374" t="s">
        <v>320</v>
      </c>
      <c r="AF24" s="374" t="s">
        <v>321</v>
      </c>
      <c r="AG24" s="390" t="s">
        <v>298</v>
      </c>
      <c r="AH24" s="390" t="s">
        <v>299</v>
      </c>
      <c r="AI24" s="394" t="s">
        <v>296</v>
      </c>
      <c r="AJ24" s="413" t="s">
        <v>336</v>
      </c>
      <c r="AK24" s="374" t="s">
        <v>305</v>
      </c>
      <c r="AL24" s="414" t="s">
        <v>330</v>
      </c>
      <c r="AM24" s="399" t="s">
        <v>297</v>
      </c>
      <c r="AN24" s="405" t="s">
        <v>583</v>
      </c>
      <c r="AO24" s="878" t="s">
        <v>337</v>
      </c>
      <c r="AP24" s="699" t="s">
        <v>335</v>
      </c>
      <c r="AQ24" s="884" t="s">
        <v>576</v>
      </c>
      <c r="AR24" s="885" t="s">
        <v>577</v>
      </c>
      <c r="AS24" s="885" t="s">
        <v>578</v>
      </c>
      <c r="AT24" s="885" t="s">
        <v>579</v>
      </c>
      <c r="AU24" s="886" t="s">
        <v>580</v>
      </c>
      <c r="AV24" s="538"/>
      <c r="AW24"/>
      <c r="AZ24" s="410" t="s">
        <v>392</v>
      </c>
      <c r="BA24" s="376" t="s">
        <v>393</v>
      </c>
    </row>
    <row r="25" spans="2:53" s="376" customFormat="1" ht="24.6" thickBot="1" x14ac:dyDescent="0.55000000000000004">
      <c r="C25" s="377"/>
      <c r="D25" s="379" t="s">
        <v>261</v>
      </c>
      <c r="E25" s="379" t="s">
        <v>273</v>
      </c>
      <c r="F25" s="379" t="s">
        <v>285</v>
      </c>
      <c r="G25" s="379"/>
      <c r="H25" s="379" t="s">
        <v>277</v>
      </c>
      <c r="I25" s="379" t="s">
        <v>287</v>
      </c>
      <c r="J25" s="379"/>
      <c r="K25" s="379" t="s">
        <v>265</v>
      </c>
      <c r="L25" s="379" t="s">
        <v>266</v>
      </c>
      <c r="M25" s="401" t="s">
        <v>566</v>
      </c>
      <c r="N25" s="401" t="s">
        <v>563</v>
      </c>
      <c r="O25" s="401" t="s">
        <v>564</v>
      </c>
      <c r="P25" s="400" t="s">
        <v>264</v>
      </c>
      <c r="Q25" s="400"/>
      <c r="R25" s="400"/>
      <c r="S25" s="400"/>
      <c r="T25" s="400" t="s">
        <v>310</v>
      </c>
      <c r="U25" s="400"/>
      <c r="V25" s="380" t="s">
        <v>267</v>
      </c>
      <c r="W25" s="380"/>
      <c r="X25" s="379" t="s">
        <v>263</v>
      </c>
      <c r="Y25" s="379" t="s">
        <v>278</v>
      </c>
      <c r="Z25" s="379" t="s">
        <v>292</v>
      </c>
      <c r="AA25" s="379"/>
      <c r="AB25" s="379"/>
      <c r="AC25" s="379"/>
      <c r="AD25" s="380" t="s">
        <v>284</v>
      </c>
      <c r="AE25" s="379" t="s">
        <v>300</v>
      </c>
      <c r="AF25" s="379" t="s">
        <v>301</v>
      </c>
      <c r="AG25" s="380" t="s">
        <v>302</v>
      </c>
      <c r="AH25" s="380" t="s">
        <v>303</v>
      </c>
      <c r="AI25" s="374" t="s">
        <v>315</v>
      </c>
      <c r="AJ25" s="411"/>
      <c r="AK25" s="374" t="s">
        <v>314</v>
      </c>
      <c r="AL25" s="414"/>
      <c r="AM25" s="400" t="s">
        <v>309</v>
      </c>
      <c r="AN25" s="400"/>
      <c r="AO25" s="392" t="s">
        <v>316</v>
      </c>
      <c r="AP25" s="392"/>
      <c r="AU25" s="54"/>
      <c r="AV25" s="54"/>
      <c r="AW25" s="264"/>
      <c r="AX25" s="264"/>
      <c r="AZ25"/>
      <c r="BA25" s="550" t="e">
        <f ca="1">MAX(BA27:BA106)</f>
        <v>#N/A</v>
      </c>
    </row>
    <row r="26" spans="2:53" s="378" customFormat="1" ht="40.799999999999997" customHeight="1" x14ac:dyDescent="0.5">
      <c r="D26" s="557" t="str">
        <f>IF('PEP Impact Model'!$O$80=0,"from Epi-Curve Model","from PEP Impact Model")</f>
        <v>from Epi-Curve Model</v>
      </c>
      <c r="E26" s="379" t="s">
        <v>274</v>
      </c>
      <c r="F26" s="379" t="s">
        <v>275</v>
      </c>
      <c r="G26" s="379"/>
      <c r="H26" s="380"/>
      <c r="I26" s="380" t="s">
        <v>286</v>
      </c>
      <c r="J26" s="379"/>
      <c r="K26" s="379" t="s">
        <v>288</v>
      </c>
      <c r="L26" s="379" t="s">
        <v>289</v>
      </c>
      <c r="M26" s="401"/>
      <c r="N26" s="401" t="s">
        <v>575</v>
      </c>
      <c r="O26" s="401" t="s">
        <v>574</v>
      </c>
      <c r="P26" s="401" t="s">
        <v>270</v>
      </c>
      <c r="Q26" s="401"/>
      <c r="R26" s="401"/>
      <c r="S26" s="401"/>
      <c r="T26" s="401" t="s">
        <v>311</v>
      </c>
      <c r="U26" s="401"/>
      <c r="V26" s="379" t="s">
        <v>271</v>
      </c>
      <c r="W26" s="379"/>
      <c r="X26" s="379" t="s">
        <v>290</v>
      </c>
      <c r="Y26" s="380"/>
      <c r="Z26" s="380" t="s">
        <v>291</v>
      </c>
      <c r="AA26" s="380"/>
      <c r="AB26" s="379" t="s">
        <v>326</v>
      </c>
      <c r="AC26" s="379"/>
      <c r="AD26" s="380" t="s">
        <v>293</v>
      </c>
      <c r="AE26" s="379" t="s">
        <v>294</v>
      </c>
      <c r="AF26" s="379" t="s">
        <v>295</v>
      </c>
      <c r="AG26" s="379" t="s">
        <v>322</v>
      </c>
      <c r="AH26" s="379" t="s">
        <v>323</v>
      </c>
      <c r="AI26" s="380" t="s">
        <v>306</v>
      </c>
      <c r="AJ26" s="380"/>
      <c r="AK26" s="374" t="s">
        <v>307</v>
      </c>
      <c r="AL26" s="414"/>
      <c r="AM26" s="401" t="s">
        <v>308</v>
      </c>
      <c r="AN26" s="401"/>
      <c r="AO26" s="380" t="s">
        <v>313</v>
      </c>
      <c r="AP26" s="380"/>
      <c r="AW26" s="408" t="s">
        <v>334</v>
      </c>
      <c r="AX26" s="409" t="s">
        <v>327</v>
      </c>
    </row>
    <row r="27" spans="2:53" x14ac:dyDescent="0.25">
      <c r="B27" s="105">
        <f>'PEP Impact Model'!B19</f>
        <v>0</v>
      </c>
      <c r="C27">
        <f>'PEP Impact Model'!C19</f>
        <v>1</v>
      </c>
      <c r="D27" s="78" t="e">
        <f ca="1">IF('PEP Impact Model'!$O$80=0,'PEP Impact Model'!J19,'PEP Impact Model'!O19)</f>
        <v>#N/A</v>
      </c>
      <c r="E27" s="387" t="e">
        <f ca="1">D27</f>
        <v>#N/A</v>
      </c>
      <c r="F27" s="389" t="e">
        <f ca="1">ROUND(E27*$D$14,0)</f>
        <v>#N/A</v>
      </c>
      <c r="G27" s="75" t="e">
        <f ca="1">F27</f>
        <v>#N/A</v>
      </c>
      <c r="H27" t="e">
        <f t="shared" ref="H27:H58" si="0">IF(B27&lt;$D$8,$C$11,$D$11)</f>
        <v>#N/A</v>
      </c>
      <c r="I27" t="e">
        <f t="shared" ref="I27:I58" ca="1" si="1">ROUND((E27-(E27*$D$14))*H27,0)</f>
        <v>#N/A</v>
      </c>
      <c r="J27" s="75" t="e">
        <f ca="1">I27</f>
        <v>#N/A</v>
      </c>
      <c r="K27" t="e">
        <f t="shared" ref="K27:K58" ca="1" si="2">ROUND(I27*$C$17,0)</f>
        <v>#N/A</v>
      </c>
      <c r="L27" t="e">
        <f t="shared" ref="L27:L58" ca="1" si="3">ROUND((I27*(1-$C$17)),0)</f>
        <v>#N/A</v>
      </c>
      <c r="M27" s="888">
        <f>$D$13</f>
        <v>0.5</v>
      </c>
      <c r="N27" s="248" t="e">
        <f ca="1">K27-O27</f>
        <v>#N/A</v>
      </c>
      <c r="O27" s="248" t="e">
        <f ca="1">ROUND(K27*M27,0)</f>
        <v>#N/A</v>
      </c>
      <c r="P27" s="406" t="e">
        <f ca="1">ROUND(N27*$D$14,0)</f>
        <v>#N/A</v>
      </c>
      <c r="Q27" s="883" t="e">
        <f ca="1">P27+V27</f>
        <v>#N/A</v>
      </c>
      <c r="S27" s="883">
        <f>R27</f>
        <v>0</v>
      </c>
      <c r="U27" s="406">
        <f>T27</f>
        <v>0</v>
      </c>
      <c r="V27" s="389" t="e">
        <f ca="1">ROUND(L27*0.5,0)</f>
        <v>#N/A</v>
      </c>
      <c r="W27" s="389" t="e">
        <f ca="1">V27</f>
        <v>#N/A</v>
      </c>
      <c r="X27" s="78" t="e">
        <f t="shared" ref="X27:X58" ca="1" si="4">E27-F27-I27</f>
        <v>#N/A</v>
      </c>
      <c r="Y27" t="e">
        <f t="shared" ref="Y27:Y58" si="5">IF(B27&lt;$D$8,$C$12,$D$12)</f>
        <v>#N/A</v>
      </c>
      <c r="Z27" t="e">
        <f t="shared" ref="Z27:Z58" ca="1" si="6">ROUND(F27*Y27,0)</f>
        <v>#N/A</v>
      </c>
      <c r="AA27" s="389" t="e">
        <f ca="1">Z27</f>
        <v>#N/A</v>
      </c>
      <c r="AB27" t="e">
        <f t="shared" ref="AB27:AB58" ca="1" si="7">SUM(I27,Z27)</f>
        <v>#N/A</v>
      </c>
      <c r="AC27" s="383" t="e">
        <f ca="1">AB27</f>
        <v>#N/A</v>
      </c>
      <c r="AD27" t="e">
        <f t="shared" ref="AD27:AD58" ca="1" si="8">F27-Z27</f>
        <v>#N/A</v>
      </c>
      <c r="AE27" t="e">
        <f ca="1">ROUND(Z27*$D$17,0)</f>
        <v>#N/A</v>
      </c>
      <c r="AF27" t="e">
        <f t="shared" ref="AF27:AF58" ca="1" si="9">ROUND(Z27*(1-$D$17),0)</f>
        <v>#N/A</v>
      </c>
      <c r="AG27" s="389"/>
      <c r="AH27" s="389"/>
      <c r="AI27" s="389"/>
      <c r="AJ27" s="389">
        <f>AI27</f>
        <v>0</v>
      </c>
      <c r="AK27" s="389"/>
      <c r="AL27" s="381">
        <f>AK27</f>
        <v>0</v>
      </c>
      <c r="AM27" s="248"/>
      <c r="AN27" s="883">
        <f>T27+AM27</f>
        <v>0</v>
      </c>
      <c r="AP27" s="381">
        <f>AO27</f>
        <v>0</v>
      </c>
      <c r="AQ27" t="e">
        <f ca="1">P27+V27+Z27</f>
        <v>#N/A</v>
      </c>
      <c r="AR27" t="e">
        <f t="shared" ref="AR27:AR58" ca="1" si="10">U27+W27+AA27</f>
        <v>#N/A</v>
      </c>
      <c r="AS27" t="e">
        <f ca="1">IF(J27-Q27-S27&lt;0,0,J27-Q27-S27)</f>
        <v>#N/A</v>
      </c>
      <c r="AT27" t="e">
        <f ca="1">IF(Q27+AA27-AJ27-AN27&lt;0,0,IF(AND(AO27=0,AO26=1),0,Q27+AA27-AJ27-AN27))</f>
        <v>#N/A</v>
      </c>
      <c r="AU27" t="e">
        <f ca="1">AS27+AT27</f>
        <v>#N/A</v>
      </c>
      <c r="AW27" s="198">
        <v>7</v>
      </c>
      <c r="AX27" s="397">
        <f>_xlfn.NORM.DIST(AW27,18,3,FALSE)</f>
        <v>1.6009021720694023E-4</v>
      </c>
      <c r="AZ27" t="e">
        <f t="shared" ref="AZ27:AZ58" ca="1" si="11">IF(AU27=MAX($AU$27:$AU$106),1,"")</f>
        <v>#N/A</v>
      </c>
      <c r="BA27" s="105" t="e">
        <f t="shared" ref="BA27:BA58" ca="1" si="12">IF(AZ27=1,B27,"")</f>
        <v>#N/A</v>
      </c>
    </row>
    <row r="28" spans="2:53" x14ac:dyDescent="0.25">
      <c r="B28" s="105">
        <f>'PEP Impact Model'!B20</f>
        <v>1</v>
      </c>
      <c r="C28">
        <f>'PEP Impact Model'!C20</f>
        <v>2</v>
      </c>
      <c r="D28" s="78" t="e">
        <f ca="1">IF('PEP Impact Model'!$O$80=0,'PEP Impact Model'!J20,'PEP Impact Model'!O20)</f>
        <v>#N/A</v>
      </c>
      <c r="E28" s="305" t="e">
        <f ca="1">IF(D28+X27&lt;0,1,D28+X27)</f>
        <v>#N/A</v>
      </c>
      <c r="F28" t="e">
        <f t="shared" ref="F28:F59" ca="1" si="13">IF(AND(E28&gt;0.5,E28&lt;1.5),1,ROUND(E28*$D$14,0))</f>
        <v>#N/A</v>
      </c>
      <c r="G28" s="304" t="e">
        <f ca="1">SUM($F$27:F28)</f>
        <v>#N/A</v>
      </c>
      <c r="H28" t="e">
        <f t="shared" si="0"/>
        <v>#N/A</v>
      </c>
      <c r="I28" t="e">
        <f t="shared" ca="1" si="1"/>
        <v>#N/A</v>
      </c>
      <c r="J28" s="304" t="e">
        <f ca="1">SUM($I$27:I28)</f>
        <v>#N/A</v>
      </c>
      <c r="K28" t="e">
        <f t="shared" ca="1" si="2"/>
        <v>#N/A</v>
      </c>
      <c r="L28" t="e">
        <f t="shared" ca="1" si="3"/>
        <v>#N/A</v>
      </c>
      <c r="M28" s="888">
        <f t="shared" ref="M28:M91" si="14">$D$13</f>
        <v>0.5</v>
      </c>
      <c r="N28" s="248" t="e">
        <f t="shared" ref="N28:N91" ca="1" si="15">K28-O28</f>
        <v>#N/A</v>
      </c>
      <c r="O28" s="248" t="e">
        <f t="shared" ref="O28:O91" ca="1" si="16">ROUND(K28*M28,0)</f>
        <v>#N/A</v>
      </c>
      <c r="P28" s="889" t="e">
        <f ca="1">ROUND(N27*$D$14+N28*$D$14,0)</f>
        <v>#N/A</v>
      </c>
      <c r="Q28" s="244" t="e">
        <f ca="1">SUM($P$27:P28)+SUM($V$27:V28)</f>
        <v>#N/A</v>
      </c>
      <c r="S28" s="248">
        <f>SUM($R$27:R28)</f>
        <v>0</v>
      </c>
      <c r="U28" s="244">
        <f>SUM($T$27:T28)</f>
        <v>0</v>
      </c>
      <c r="V28" s="75" t="e">
        <f t="shared" ref="V28:V59" ca="1" si="17">ROUND(L27*0.5+L28*0.5,0)</f>
        <v>#N/A</v>
      </c>
      <c r="W28" s="75" t="e">
        <f ca="1">SUM($V$27:V28)</f>
        <v>#N/A</v>
      </c>
      <c r="X28" s="78" t="e">
        <f t="shared" ca="1" si="4"/>
        <v>#N/A</v>
      </c>
      <c r="Y28" t="e">
        <f t="shared" si="5"/>
        <v>#N/A</v>
      </c>
      <c r="Z28" t="e">
        <f t="shared" ca="1" si="6"/>
        <v>#N/A</v>
      </c>
      <c r="AA28" s="75" t="e">
        <f ca="1">SUM($Z$27:Z28)</f>
        <v>#N/A</v>
      </c>
      <c r="AB28" t="e">
        <f t="shared" ca="1" si="7"/>
        <v>#N/A</v>
      </c>
      <c r="AC28" s="78" t="e">
        <f ca="1">SUM($AB$27:AB28)</f>
        <v>#N/A</v>
      </c>
      <c r="AD28" t="e">
        <f t="shared" ca="1" si="8"/>
        <v>#N/A</v>
      </c>
      <c r="AE28" t="e">
        <f t="shared" ref="AE28:AE58" ca="1" si="18">ROUND(Z28*$D$17,0)</f>
        <v>#N/A</v>
      </c>
      <c r="AF28" t="e">
        <f t="shared" ca="1" si="9"/>
        <v>#N/A</v>
      </c>
      <c r="AG28" t="e">
        <f ca="1">AF27*1</f>
        <v>#N/A</v>
      </c>
      <c r="AH28" t="e">
        <f t="shared" ref="AH28:AH59" ca="1" si="19">V27*1</f>
        <v>#N/A</v>
      </c>
      <c r="AI28" t="e">
        <f ca="1">SUM(AG28:AH28)</f>
        <v>#N/A</v>
      </c>
      <c r="AJ28" t="e">
        <f ca="1">SUM($AI$27:AI28)</f>
        <v>#N/A</v>
      </c>
      <c r="AK28" t="e">
        <f ca="1">AI28+AD28</f>
        <v>#N/A</v>
      </c>
      <c r="AL28" t="e">
        <f ca="1">SUM($AK$27:AK28)</f>
        <v>#N/A</v>
      </c>
      <c r="AM28" s="248"/>
      <c r="AN28" s="248">
        <f>SUM($T$27:T28)+SUM($AM$27:AM28)</f>
        <v>0</v>
      </c>
      <c r="AP28">
        <f>SUM($AO$27:AO28)</f>
        <v>0</v>
      </c>
      <c r="AQ28" t="e">
        <f t="shared" ref="AQ28:AQ91" ca="1" si="20">P28+V28+Z28</f>
        <v>#N/A</v>
      </c>
      <c r="AR28" t="e">
        <f t="shared" ca="1" si="10"/>
        <v>#N/A</v>
      </c>
      <c r="AS28" t="e">
        <f t="shared" ref="AS28:AS51" ca="1" si="21">IF(J28-Q28-S28&lt;0,0,J28-Q28-S28)</f>
        <v>#N/A</v>
      </c>
      <c r="AT28" t="e">
        <f t="shared" ref="AT28:AT51" ca="1" si="22">IF(Q28+AA28-AJ28-AN28&lt;0,0,IF(AND(AO28=0,AO27=1),0,Q28+AA28-AJ28-AN28))</f>
        <v>#N/A</v>
      </c>
      <c r="AU28" t="e">
        <f t="shared" ref="AU28:AU91" ca="1" si="23">AS28+AT28</f>
        <v>#N/A</v>
      </c>
      <c r="AW28" s="198">
        <v>8</v>
      </c>
      <c r="AX28" s="397">
        <f t="shared" ref="AX28:AX46" si="24">_xlfn.NORM.DIST(AW28,18,3,FALSE)</f>
        <v>5.140929987637018E-4</v>
      </c>
      <c r="AZ28" t="e">
        <f t="shared" ca="1" si="11"/>
        <v>#N/A</v>
      </c>
      <c r="BA28" s="105" t="e">
        <f t="shared" ca="1" si="12"/>
        <v>#N/A</v>
      </c>
    </row>
    <row r="29" spans="2:53" x14ac:dyDescent="0.25">
      <c r="B29" s="105">
        <f>'PEP Impact Model'!B21</f>
        <v>2</v>
      </c>
      <c r="C29">
        <f>'PEP Impact Model'!C21</f>
        <v>3</v>
      </c>
      <c r="D29" s="78" t="e">
        <f ca="1">IF('PEP Impact Model'!$O$80=0,'PEP Impact Model'!J21,'PEP Impact Model'!O21)</f>
        <v>#N/A</v>
      </c>
      <c r="E29" s="305" t="e">
        <f ca="1">IF(D29+X28&lt;0,1,D29+X28)</f>
        <v>#N/A</v>
      </c>
      <c r="F29" t="e">
        <f t="shared" ca="1" si="13"/>
        <v>#N/A</v>
      </c>
      <c r="G29" t="e">
        <f ca="1">SUM($F$27:F29)</f>
        <v>#N/A</v>
      </c>
      <c r="H29" t="e">
        <f t="shared" si="0"/>
        <v>#N/A</v>
      </c>
      <c r="I29" t="e">
        <f t="shared" ca="1" si="1"/>
        <v>#N/A</v>
      </c>
      <c r="J29" t="e">
        <f ca="1">SUM($I$27:I29)</f>
        <v>#N/A</v>
      </c>
      <c r="K29" t="e">
        <f t="shared" ca="1" si="2"/>
        <v>#N/A</v>
      </c>
      <c r="L29" t="e">
        <f t="shared" ca="1" si="3"/>
        <v>#N/A</v>
      </c>
      <c r="M29" s="888">
        <f t="shared" si="14"/>
        <v>0.5</v>
      </c>
      <c r="N29" s="248" t="e">
        <f t="shared" ca="1" si="15"/>
        <v>#N/A</v>
      </c>
      <c r="O29" s="248" t="e">
        <f t="shared" ca="1" si="16"/>
        <v>#N/A</v>
      </c>
      <c r="P29" s="889" t="e">
        <f ca="1">ROUND(N27*$D$14+N28*$D$14+N29*$D$14,0)</f>
        <v>#N/A</v>
      </c>
      <c r="Q29" s="244" t="e">
        <f ca="1">SUM($P$27:P29)+SUM($V$27:V29)</f>
        <v>#N/A</v>
      </c>
      <c r="S29" s="248">
        <f>SUM($R$27:R29)</f>
        <v>0</v>
      </c>
      <c r="U29" s="244">
        <f>SUM($T$27:T29)</f>
        <v>0</v>
      </c>
      <c r="V29" s="75" t="e">
        <f t="shared" ca="1" si="17"/>
        <v>#N/A</v>
      </c>
      <c r="W29" s="75" t="e">
        <f ca="1">SUM($V$27:V29)</f>
        <v>#N/A</v>
      </c>
      <c r="X29" s="78" t="e">
        <f t="shared" ca="1" si="4"/>
        <v>#N/A</v>
      </c>
      <c r="Y29" t="e">
        <f t="shared" si="5"/>
        <v>#N/A</v>
      </c>
      <c r="Z29" t="e">
        <f t="shared" ca="1" si="6"/>
        <v>#N/A</v>
      </c>
      <c r="AA29" s="75" t="e">
        <f ca="1">SUM($Z$27:Z29)</f>
        <v>#N/A</v>
      </c>
      <c r="AB29" t="e">
        <f t="shared" ca="1" si="7"/>
        <v>#N/A</v>
      </c>
      <c r="AC29" s="78" t="e">
        <f ca="1">SUM($AB$27:AB29)</f>
        <v>#N/A</v>
      </c>
      <c r="AD29" t="e">
        <f t="shared" ca="1" si="8"/>
        <v>#N/A</v>
      </c>
      <c r="AE29" t="e">
        <f t="shared" ca="1" si="18"/>
        <v>#N/A</v>
      </c>
      <c r="AF29" t="e">
        <f t="shared" ca="1" si="9"/>
        <v>#N/A</v>
      </c>
      <c r="AG29" t="e">
        <f t="shared" ref="AG29:AG92" ca="1" si="25">AF28*1</f>
        <v>#N/A</v>
      </c>
      <c r="AH29" t="e">
        <f t="shared" ca="1" si="19"/>
        <v>#N/A</v>
      </c>
      <c r="AI29" t="e">
        <f t="shared" ref="AI29:AI91" ca="1" si="26">SUM(AG29:AH29)</f>
        <v>#N/A</v>
      </c>
      <c r="AJ29" t="e">
        <f ca="1">SUM($AI$27:AI29)</f>
        <v>#N/A</v>
      </c>
      <c r="AK29" t="e">
        <f t="shared" ref="AK29:AK91" ca="1" si="27">AI29+AD29</f>
        <v>#N/A</v>
      </c>
      <c r="AL29" t="e">
        <f ca="1">SUM($AK$27:AK29)</f>
        <v>#N/A</v>
      </c>
      <c r="AM29" s="248"/>
      <c r="AN29" s="248">
        <f>SUM($T$27:T29)+SUM($AM$27:AM29)</f>
        <v>0</v>
      </c>
      <c r="AP29">
        <f>SUM($AO$27:AO29)</f>
        <v>0</v>
      </c>
      <c r="AQ29" t="e">
        <f t="shared" ca="1" si="20"/>
        <v>#N/A</v>
      </c>
      <c r="AR29" t="e">
        <f t="shared" ca="1" si="10"/>
        <v>#N/A</v>
      </c>
      <c r="AS29" t="e">
        <f t="shared" ca="1" si="21"/>
        <v>#N/A</v>
      </c>
      <c r="AT29" t="e">
        <f t="shared" ca="1" si="22"/>
        <v>#N/A</v>
      </c>
      <c r="AU29" t="e">
        <f t="shared" ca="1" si="23"/>
        <v>#N/A</v>
      </c>
      <c r="AW29" s="198">
        <v>9</v>
      </c>
      <c r="AX29" s="397">
        <f t="shared" si="24"/>
        <v>1.4772828039793357E-3</v>
      </c>
      <c r="AZ29" t="e">
        <f t="shared" ca="1" si="11"/>
        <v>#N/A</v>
      </c>
      <c r="BA29" s="105" t="e">
        <f t="shared" ca="1" si="12"/>
        <v>#N/A</v>
      </c>
    </row>
    <row r="30" spans="2:53" x14ac:dyDescent="0.25">
      <c r="B30" s="105">
        <f>'PEP Impact Model'!B22</f>
        <v>3</v>
      </c>
      <c r="C30">
        <f>'PEP Impact Model'!C22</f>
        <v>4</v>
      </c>
      <c r="D30" s="78" t="e">
        <f ca="1">IF('PEP Impact Model'!$O$80=0,'PEP Impact Model'!J22,'PEP Impact Model'!O22)</f>
        <v>#N/A</v>
      </c>
      <c r="E30" s="305" t="e">
        <f ca="1">IF(D30+X29&lt;0,1,D30+X29)</f>
        <v>#N/A</v>
      </c>
      <c r="F30" t="e">
        <f t="shared" ca="1" si="13"/>
        <v>#N/A</v>
      </c>
      <c r="G30" t="e">
        <f ca="1">SUM($F$27:F30)</f>
        <v>#N/A</v>
      </c>
      <c r="H30" t="e">
        <f t="shared" si="0"/>
        <v>#N/A</v>
      </c>
      <c r="I30" t="e">
        <f t="shared" ca="1" si="1"/>
        <v>#N/A</v>
      </c>
      <c r="J30" t="e">
        <f ca="1">SUM($I$27:I30)</f>
        <v>#N/A</v>
      </c>
      <c r="K30" t="e">
        <f t="shared" ca="1" si="2"/>
        <v>#N/A</v>
      </c>
      <c r="L30" t="e">
        <f t="shared" ca="1" si="3"/>
        <v>#N/A</v>
      </c>
      <c r="M30" s="888">
        <f t="shared" si="14"/>
        <v>0.5</v>
      </c>
      <c r="N30" s="248" t="e">
        <f t="shared" ca="1" si="15"/>
        <v>#N/A</v>
      </c>
      <c r="O30" s="248" t="e">
        <f t="shared" ca="1" si="16"/>
        <v>#N/A</v>
      </c>
      <c r="P30" s="889" t="e">
        <f ca="1">ROUND(N27*$D$14+N28*$D$14+N29*$D$14+N30*$D$14,0)</f>
        <v>#N/A</v>
      </c>
      <c r="Q30" s="244" t="e">
        <f ca="1">SUM($P$27:P30)+SUM($V$27:V30)</f>
        <v>#N/A</v>
      </c>
      <c r="S30" s="248">
        <f>SUM($R$27:R30)</f>
        <v>0</v>
      </c>
      <c r="U30" s="244">
        <f>SUM($T$27:T30)</f>
        <v>0</v>
      </c>
      <c r="V30" s="75" t="e">
        <f t="shared" ca="1" si="17"/>
        <v>#N/A</v>
      </c>
      <c r="W30" s="75" t="e">
        <f ca="1">SUM($V$27:V30)</f>
        <v>#N/A</v>
      </c>
      <c r="X30" s="78" t="e">
        <f t="shared" ca="1" si="4"/>
        <v>#N/A</v>
      </c>
      <c r="Y30" t="e">
        <f t="shared" si="5"/>
        <v>#N/A</v>
      </c>
      <c r="Z30" t="e">
        <f t="shared" ca="1" si="6"/>
        <v>#N/A</v>
      </c>
      <c r="AA30" s="75" t="e">
        <f ca="1">SUM($Z$27:Z30)</f>
        <v>#N/A</v>
      </c>
      <c r="AB30" t="e">
        <f t="shared" ca="1" si="7"/>
        <v>#N/A</v>
      </c>
      <c r="AC30" s="78" t="e">
        <f ca="1">SUM($AB$27:AB30)</f>
        <v>#N/A</v>
      </c>
      <c r="AD30" t="e">
        <f t="shared" ca="1" si="8"/>
        <v>#N/A</v>
      </c>
      <c r="AE30" t="e">
        <f t="shared" ca="1" si="18"/>
        <v>#N/A</v>
      </c>
      <c r="AF30" t="e">
        <f t="shared" ca="1" si="9"/>
        <v>#N/A</v>
      </c>
      <c r="AG30" t="e">
        <f t="shared" ca="1" si="25"/>
        <v>#N/A</v>
      </c>
      <c r="AH30" t="e">
        <f t="shared" ca="1" si="19"/>
        <v>#N/A</v>
      </c>
      <c r="AI30" t="e">
        <f t="shared" ca="1" si="26"/>
        <v>#N/A</v>
      </c>
      <c r="AJ30" t="e">
        <f ca="1">SUM($AI$27:AI30)</f>
        <v>#N/A</v>
      </c>
      <c r="AK30" t="e">
        <f t="shared" ca="1" si="27"/>
        <v>#N/A</v>
      </c>
      <c r="AL30" t="e">
        <f ca="1">SUM($AK$27:AK30)</f>
        <v>#N/A</v>
      </c>
      <c r="AM30" s="248"/>
      <c r="AN30" s="248">
        <f>SUM($T$27:T30)+SUM($AM$27:AM30)</f>
        <v>0</v>
      </c>
      <c r="AP30">
        <f>SUM($AO$27:AO30)</f>
        <v>0</v>
      </c>
      <c r="AQ30" t="e">
        <f t="shared" ca="1" si="20"/>
        <v>#N/A</v>
      </c>
      <c r="AR30" t="e">
        <f t="shared" ca="1" si="10"/>
        <v>#N/A</v>
      </c>
      <c r="AS30" t="e">
        <f t="shared" ca="1" si="21"/>
        <v>#N/A</v>
      </c>
      <c r="AT30" t="e">
        <f t="shared" ca="1" si="22"/>
        <v>#N/A</v>
      </c>
      <c r="AU30" t="e">
        <f t="shared" ca="1" si="23"/>
        <v>#N/A</v>
      </c>
      <c r="AW30" s="198">
        <v>10</v>
      </c>
      <c r="AX30" s="397">
        <f t="shared" si="24"/>
        <v>3.798662007932481E-3</v>
      </c>
      <c r="AZ30" t="e">
        <f t="shared" ca="1" si="11"/>
        <v>#N/A</v>
      </c>
      <c r="BA30" s="105" t="e">
        <f t="shared" ca="1" si="12"/>
        <v>#N/A</v>
      </c>
    </row>
    <row r="31" spans="2:53" x14ac:dyDescent="0.25">
      <c r="B31" s="105">
        <f>'PEP Impact Model'!B23</f>
        <v>4</v>
      </c>
      <c r="C31">
        <f>'PEP Impact Model'!C23</f>
        <v>5</v>
      </c>
      <c r="D31" s="78" t="e">
        <f ca="1">IF('PEP Impact Model'!$O$80=0,'PEP Impact Model'!J23,'PEP Impact Model'!O23)</f>
        <v>#N/A</v>
      </c>
      <c r="E31" s="78" t="e">
        <f t="shared" ref="E31:E62" ca="1" si="28">IF(D27&lt;0.5,0,IF(D31+X30&lt;0,1,D31+X30))</f>
        <v>#N/A</v>
      </c>
      <c r="F31" t="e">
        <f t="shared" ca="1" si="13"/>
        <v>#N/A</v>
      </c>
      <c r="G31" t="e">
        <f ca="1">SUM($F$27:F31)</f>
        <v>#N/A</v>
      </c>
      <c r="H31" t="e">
        <f t="shared" si="0"/>
        <v>#N/A</v>
      </c>
      <c r="I31" t="e">
        <f t="shared" ca="1" si="1"/>
        <v>#N/A</v>
      </c>
      <c r="J31" t="e">
        <f ca="1">SUM($I$27:I31)</f>
        <v>#N/A</v>
      </c>
      <c r="K31" t="e">
        <f t="shared" ca="1" si="2"/>
        <v>#N/A</v>
      </c>
      <c r="L31" t="e">
        <f t="shared" ca="1" si="3"/>
        <v>#N/A</v>
      </c>
      <c r="M31" s="888">
        <f t="shared" si="14"/>
        <v>0.5</v>
      </c>
      <c r="N31" s="248" t="e">
        <f t="shared" ca="1" si="15"/>
        <v>#N/A</v>
      </c>
      <c r="O31" s="248" t="e">
        <f t="shared" ca="1" si="16"/>
        <v>#N/A</v>
      </c>
      <c r="P31" s="248" t="e">
        <f ca="1">ROUND(N27*$D$14+N28*$D$14+N29*$D$14+N30*$D$14+N31*$D$14,0)</f>
        <v>#N/A</v>
      </c>
      <c r="Q31" s="244" t="e">
        <f ca="1">SUM($P$27:P31)+SUM($V$27:V31)</f>
        <v>#N/A</v>
      </c>
      <c r="S31" s="248">
        <f>SUM($R$27:R31)</f>
        <v>0</v>
      </c>
      <c r="U31" s="244">
        <f>SUM($T$27:T31)</f>
        <v>0</v>
      </c>
      <c r="V31" s="75" t="e">
        <f t="shared" ca="1" si="17"/>
        <v>#N/A</v>
      </c>
      <c r="W31" s="75" t="e">
        <f ca="1">SUM($V$27:V31)</f>
        <v>#N/A</v>
      </c>
      <c r="X31" s="78" t="e">
        <f t="shared" ca="1" si="4"/>
        <v>#N/A</v>
      </c>
      <c r="Y31" t="e">
        <f t="shared" si="5"/>
        <v>#N/A</v>
      </c>
      <c r="Z31" t="e">
        <f t="shared" ca="1" si="6"/>
        <v>#N/A</v>
      </c>
      <c r="AA31" s="75" t="e">
        <f ca="1">SUM($Z$27:Z31)</f>
        <v>#N/A</v>
      </c>
      <c r="AB31" t="e">
        <f t="shared" ca="1" si="7"/>
        <v>#N/A</v>
      </c>
      <c r="AC31" s="78" t="e">
        <f ca="1">SUM($AB$27:AB31)</f>
        <v>#N/A</v>
      </c>
      <c r="AD31" t="e">
        <f t="shared" ca="1" si="8"/>
        <v>#N/A</v>
      </c>
      <c r="AE31" t="e">
        <f t="shared" ca="1" si="18"/>
        <v>#N/A</v>
      </c>
      <c r="AF31" t="e">
        <f t="shared" ca="1" si="9"/>
        <v>#N/A</v>
      </c>
      <c r="AG31" t="e">
        <f t="shared" ca="1" si="25"/>
        <v>#N/A</v>
      </c>
      <c r="AH31" t="e">
        <f t="shared" ca="1" si="19"/>
        <v>#N/A</v>
      </c>
      <c r="AI31" t="e">
        <f t="shared" ca="1" si="26"/>
        <v>#N/A</v>
      </c>
      <c r="AJ31" t="e">
        <f ca="1">SUM($AI$27:AI31)</f>
        <v>#N/A</v>
      </c>
      <c r="AK31" t="e">
        <f ca="1">AI31+AD31</f>
        <v>#N/A</v>
      </c>
      <c r="AL31" t="e">
        <f ca="1">SUM($AK$27:AK31)</f>
        <v>#N/A</v>
      </c>
      <c r="AM31" s="248"/>
      <c r="AN31" s="248">
        <f>SUM($T$27:T31)+SUM($AM$27:AM31)</f>
        <v>0</v>
      </c>
      <c r="AP31">
        <f>SUM($AO$27:AO31)</f>
        <v>0</v>
      </c>
      <c r="AQ31" t="e">
        <f t="shared" ca="1" si="20"/>
        <v>#N/A</v>
      </c>
      <c r="AR31" t="e">
        <f t="shared" ca="1" si="10"/>
        <v>#N/A</v>
      </c>
      <c r="AS31" t="e">
        <f t="shared" ca="1" si="21"/>
        <v>#N/A</v>
      </c>
      <c r="AT31" t="e">
        <f t="shared" ca="1" si="22"/>
        <v>#N/A</v>
      </c>
      <c r="AU31" t="e">
        <f t="shared" ca="1" si="23"/>
        <v>#N/A</v>
      </c>
      <c r="AW31" s="198">
        <v>11</v>
      </c>
      <c r="AX31" s="397">
        <f t="shared" si="24"/>
        <v>8.7406296979031604E-3</v>
      </c>
      <c r="AZ31" t="e">
        <f t="shared" ca="1" si="11"/>
        <v>#N/A</v>
      </c>
      <c r="BA31" s="105" t="e">
        <f t="shared" ca="1" si="12"/>
        <v>#N/A</v>
      </c>
    </row>
    <row r="32" spans="2:53" x14ac:dyDescent="0.25">
      <c r="B32" s="105">
        <f>'PEP Impact Model'!B24</f>
        <v>5</v>
      </c>
      <c r="C32">
        <f>'PEP Impact Model'!C24</f>
        <v>6</v>
      </c>
      <c r="D32" s="78" t="e">
        <f ca="1">IF('PEP Impact Model'!$O$80=0,'PEP Impact Model'!J24,'PEP Impact Model'!O24)</f>
        <v>#N/A</v>
      </c>
      <c r="E32" s="78" t="e">
        <f t="shared" ca="1" si="28"/>
        <v>#N/A</v>
      </c>
      <c r="F32" t="e">
        <f t="shared" ca="1" si="13"/>
        <v>#N/A</v>
      </c>
      <c r="G32" t="e">
        <f ca="1">SUM($F$27:F32)</f>
        <v>#N/A</v>
      </c>
      <c r="H32" t="e">
        <f t="shared" si="0"/>
        <v>#N/A</v>
      </c>
      <c r="I32" t="e">
        <f t="shared" ca="1" si="1"/>
        <v>#N/A</v>
      </c>
      <c r="J32" t="e">
        <f ca="1">SUM($I$27:I32)</f>
        <v>#N/A</v>
      </c>
      <c r="K32" t="e">
        <f t="shared" ca="1" si="2"/>
        <v>#N/A</v>
      </c>
      <c r="L32" t="e">
        <f t="shared" ca="1" si="3"/>
        <v>#N/A</v>
      </c>
      <c r="M32" s="888">
        <f t="shared" si="14"/>
        <v>0.5</v>
      </c>
      <c r="N32" s="248" t="e">
        <f t="shared" ca="1" si="15"/>
        <v>#N/A</v>
      </c>
      <c r="O32" s="248" t="e">
        <f t="shared" ca="1" si="16"/>
        <v>#N/A</v>
      </c>
      <c r="P32" s="248" t="e">
        <f ca="1">ROUND(N28*$D$14+N29*$D$14+N30*$D$14+N31*$D$14+N32*$D$14,0)</f>
        <v>#N/A</v>
      </c>
      <c r="Q32" s="244" t="e">
        <f ca="1">SUM($P$27:P32)+SUM($V$27:V32)</f>
        <v>#N/A</v>
      </c>
      <c r="R32" s="406"/>
      <c r="S32" s="248">
        <f>SUM($R$27:R32)</f>
        <v>0</v>
      </c>
      <c r="T32" s="406"/>
      <c r="U32" s="244">
        <f>SUM($T$27:T32)</f>
        <v>0</v>
      </c>
      <c r="V32" s="75" t="e">
        <f t="shared" ca="1" si="17"/>
        <v>#N/A</v>
      </c>
      <c r="W32" s="75" t="e">
        <f ca="1">SUM($V$27:V32)</f>
        <v>#N/A</v>
      </c>
      <c r="X32" s="78" t="e">
        <f t="shared" ca="1" si="4"/>
        <v>#N/A</v>
      </c>
      <c r="Y32" t="e">
        <f t="shared" si="5"/>
        <v>#N/A</v>
      </c>
      <c r="Z32" t="e">
        <f t="shared" ca="1" si="6"/>
        <v>#N/A</v>
      </c>
      <c r="AA32" s="75" t="e">
        <f ca="1">SUM($Z$27:Z32)</f>
        <v>#N/A</v>
      </c>
      <c r="AB32" t="e">
        <f t="shared" ca="1" si="7"/>
        <v>#N/A</v>
      </c>
      <c r="AC32" s="78" t="e">
        <f ca="1">SUM($AB$27:AB32)</f>
        <v>#N/A</v>
      </c>
      <c r="AD32" t="e">
        <f t="shared" ca="1" si="8"/>
        <v>#N/A</v>
      </c>
      <c r="AE32" t="e">
        <f t="shared" ca="1" si="18"/>
        <v>#N/A</v>
      </c>
      <c r="AF32" t="e">
        <f t="shared" ca="1" si="9"/>
        <v>#N/A</v>
      </c>
      <c r="AG32" t="e">
        <f ca="1">AF31*1</f>
        <v>#N/A</v>
      </c>
      <c r="AH32" t="e">
        <f t="shared" ca="1" si="19"/>
        <v>#N/A</v>
      </c>
      <c r="AI32" t="e">
        <f t="shared" ca="1" si="26"/>
        <v>#N/A</v>
      </c>
      <c r="AJ32" t="e">
        <f ca="1">SUM($AI$27:AI32)</f>
        <v>#N/A</v>
      </c>
      <c r="AK32" t="e">
        <f t="shared" ca="1" si="27"/>
        <v>#N/A</v>
      </c>
      <c r="AL32" t="e">
        <f ca="1">SUM($AK$27:AK32)</f>
        <v>#N/A</v>
      </c>
      <c r="AM32" s="406"/>
      <c r="AN32" s="248">
        <f>SUM($T$27:T32)+SUM($AM$27:AM32)</f>
        <v>0</v>
      </c>
      <c r="AO32" s="389"/>
      <c r="AP32">
        <f>SUM($AO$27:AO32)</f>
        <v>0</v>
      </c>
      <c r="AQ32" t="e">
        <f t="shared" ca="1" si="20"/>
        <v>#N/A</v>
      </c>
      <c r="AR32" t="e">
        <f t="shared" ca="1" si="10"/>
        <v>#N/A</v>
      </c>
      <c r="AS32" t="e">
        <f t="shared" ca="1" si="21"/>
        <v>#N/A</v>
      </c>
      <c r="AT32" t="e">
        <f t="shared" ca="1" si="22"/>
        <v>#N/A</v>
      </c>
      <c r="AU32" t="e">
        <f t="shared" ca="1" si="23"/>
        <v>#N/A</v>
      </c>
      <c r="AW32" s="198">
        <v>12</v>
      </c>
      <c r="AX32" s="397">
        <f t="shared" si="24"/>
        <v>1.7996988837729353E-2</v>
      </c>
      <c r="AZ32" t="e">
        <f t="shared" ca="1" si="11"/>
        <v>#N/A</v>
      </c>
      <c r="BA32" s="105" t="e">
        <f t="shared" ca="1" si="12"/>
        <v>#N/A</v>
      </c>
    </row>
    <row r="33" spans="2:53" x14ac:dyDescent="0.25">
      <c r="B33" s="105">
        <f>'PEP Impact Model'!B25</f>
        <v>6</v>
      </c>
      <c r="C33">
        <f>'PEP Impact Model'!C25</f>
        <v>7</v>
      </c>
      <c r="D33" s="78" t="e">
        <f ca="1">IF('PEP Impact Model'!$O$80=0,'PEP Impact Model'!J25,'PEP Impact Model'!O25)</f>
        <v>#N/A</v>
      </c>
      <c r="E33" s="78" t="e">
        <f t="shared" ca="1" si="28"/>
        <v>#N/A</v>
      </c>
      <c r="F33" t="e">
        <f t="shared" ca="1" si="13"/>
        <v>#N/A</v>
      </c>
      <c r="G33" t="e">
        <f ca="1">SUM($F$27:F33)</f>
        <v>#N/A</v>
      </c>
      <c r="H33" t="e">
        <f t="shared" si="0"/>
        <v>#N/A</v>
      </c>
      <c r="I33" t="e">
        <f t="shared" ca="1" si="1"/>
        <v>#N/A</v>
      </c>
      <c r="J33" t="e">
        <f ca="1">SUM($I$27:I33)</f>
        <v>#N/A</v>
      </c>
      <c r="K33" t="e">
        <f t="shared" ca="1" si="2"/>
        <v>#N/A</v>
      </c>
      <c r="L33" t="e">
        <f t="shared" ca="1" si="3"/>
        <v>#N/A</v>
      </c>
      <c r="M33" s="888">
        <f t="shared" si="14"/>
        <v>0.5</v>
      </c>
      <c r="N33" s="248" t="e">
        <f t="shared" ca="1" si="15"/>
        <v>#N/A</v>
      </c>
      <c r="O33" s="248" t="e">
        <f t="shared" ca="1" si="16"/>
        <v>#N/A</v>
      </c>
      <c r="P33" s="248" t="e">
        <f t="shared" ref="P33:P96" ca="1" si="29">ROUND(N29*$D$14+N30*$D$14+N31*$D$14+N32*$D$14+N33*$D$14,0)</f>
        <v>#N/A</v>
      </c>
      <c r="Q33" s="244" t="e">
        <f ca="1">SUM($P$27:P33)+SUM($V$27:V33)</f>
        <v>#N/A</v>
      </c>
      <c r="R33" s="407" t="e">
        <f ca="1">ROUND(O27*$AX$27,0)</f>
        <v>#N/A</v>
      </c>
      <c r="S33" s="248" t="e">
        <f ca="1">SUM($R$27:R33)</f>
        <v>#N/A</v>
      </c>
      <c r="T33" s="407" t="e">
        <f ca="1">ROUND(P27*$AX$27,0)</f>
        <v>#N/A</v>
      </c>
      <c r="U33" s="244" t="e">
        <f ca="1">SUM($T$27:T33)</f>
        <v>#N/A</v>
      </c>
      <c r="V33" t="e">
        <f t="shared" ca="1" si="17"/>
        <v>#N/A</v>
      </c>
      <c r="W33" s="75" t="e">
        <f ca="1">SUM($V$27:V33)</f>
        <v>#N/A</v>
      </c>
      <c r="X33" s="78" t="e">
        <f t="shared" ca="1" si="4"/>
        <v>#N/A</v>
      </c>
      <c r="Y33" t="e">
        <f t="shared" si="5"/>
        <v>#N/A</v>
      </c>
      <c r="Z33" t="e">
        <f t="shared" ca="1" si="6"/>
        <v>#N/A</v>
      </c>
      <c r="AA33" s="75" t="e">
        <f ca="1">SUM($Z$27:Z33)</f>
        <v>#N/A</v>
      </c>
      <c r="AB33" t="e">
        <f t="shared" ca="1" si="7"/>
        <v>#N/A</v>
      </c>
      <c r="AC33" s="78" t="e">
        <f ca="1">SUM($AB$27:AB33)</f>
        <v>#N/A</v>
      </c>
      <c r="AD33" t="e">
        <f t="shared" ca="1" si="8"/>
        <v>#N/A</v>
      </c>
      <c r="AE33" t="e">
        <f t="shared" ca="1" si="18"/>
        <v>#N/A</v>
      </c>
      <c r="AF33" t="e">
        <f t="shared" ca="1" si="9"/>
        <v>#N/A</v>
      </c>
      <c r="AG33" t="e">
        <f t="shared" ca="1" si="25"/>
        <v>#N/A</v>
      </c>
      <c r="AH33" t="e">
        <f t="shared" ca="1" si="19"/>
        <v>#N/A</v>
      </c>
      <c r="AI33" t="e">
        <f t="shared" ca="1" si="26"/>
        <v>#N/A</v>
      </c>
      <c r="AJ33" t="e">
        <f ca="1">SUM($AI$27:AI33)</f>
        <v>#N/A</v>
      </c>
      <c r="AK33" t="e">
        <f t="shared" ca="1" si="27"/>
        <v>#N/A</v>
      </c>
      <c r="AL33" t="e">
        <f ca="1">SUM($AK$27:AK33)</f>
        <v>#N/A</v>
      </c>
      <c r="AM33" s="407" t="e">
        <f ca="1">ROUND(AE27*$AX$27,0)</f>
        <v>#N/A</v>
      </c>
      <c r="AN33" s="248" t="e">
        <f ca="1">SUM($T$27:T33)+SUM($AM$27:AM33)</f>
        <v>#N/A</v>
      </c>
      <c r="AO33" t="e">
        <f ca="1">SUM(AM33,T33,R33)</f>
        <v>#N/A</v>
      </c>
      <c r="AP33" t="e">
        <f ca="1">SUM($AO$27:AO33)</f>
        <v>#N/A</v>
      </c>
      <c r="AQ33" t="e">
        <f t="shared" ca="1" si="20"/>
        <v>#N/A</v>
      </c>
      <c r="AR33" t="e">
        <f t="shared" ca="1" si="10"/>
        <v>#N/A</v>
      </c>
      <c r="AS33" t="e">
        <f t="shared" ca="1" si="21"/>
        <v>#N/A</v>
      </c>
      <c r="AT33" t="e">
        <f t="shared" ca="1" si="22"/>
        <v>#N/A</v>
      </c>
      <c r="AU33" t="e">
        <f t="shared" ca="1" si="23"/>
        <v>#N/A</v>
      </c>
      <c r="AW33" s="198">
        <v>13</v>
      </c>
      <c r="AX33" s="397">
        <f t="shared" si="24"/>
        <v>3.3159046264249557E-2</v>
      </c>
      <c r="AZ33" t="e">
        <f t="shared" ca="1" si="11"/>
        <v>#N/A</v>
      </c>
      <c r="BA33" s="105" t="e">
        <f t="shared" ca="1" si="12"/>
        <v>#N/A</v>
      </c>
    </row>
    <row r="34" spans="2:53" x14ac:dyDescent="0.25">
      <c r="B34" s="105">
        <f>'PEP Impact Model'!B26</f>
        <v>7</v>
      </c>
      <c r="C34">
        <f>'PEP Impact Model'!C26</f>
        <v>8</v>
      </c>
      <c r="D34" s="78" t="e">
        <f ca="1">IF('PEP Impact Model'!$O$80=0,'PEP Impact Model'!J26,'PEP Impact Model'!O26)</f>
        <v>#N/A</v>
      </c>
      <c r="E34" s="78" t="e">
        <f t="shared" ca="1" si="28"/>
        <v>#N/A</v>
      </c>
      <c r="F34" t="e">
        <f t="shared" ca="1" si="13"/>
        <v>#N/A</v>
      </c>
      <c r="G34" t="e">
        <f ca="1">SUM($F$27:F34)</f>
        <v>#N/A</v>
      </c>
      <c r="H34" t="e">
        <f t="shared" si="0"/>
        <v>#N/A</v>
      </c>
      <c r="I34" t="e">
        <f t="shared" ca="1" si="1"/>
        <v>#N/A</v>
      </c>
      <c r="J34" t="e">
        <f ca="1">SUM($I$27:I34)</f>
        <v>#N/A</v>
      </c>
      <c r="K34" t="e">
        <f t="shared" ca="1" si="2"/>
        <v>#N/A</v>
      </c>
      <c r="L34" t="e">
        <f t="shared" ca="1" si="3"/>
        <v>#N/A</v>
      </c>
      <c r="M34" s="888">
        <f t="shared" si="14"/>
        <v>0.5</v>
      </c>
      <c r="N34" s="248" t="e">
        <f t="shared" ca="1" si="15"/>
        <v>#N/A</v>
      </c>
      <c r="O34" s="248" t="e">
        <f t="shared" ca="1" si="16"/>
        <v>#N/A</v>
      </c>
      <c r="P34" s="248" t="e">
        <f t="shared" ca="1" si="29"/>
        <v>#N/A</v>
      </c>
      <c r="Q34" s="244" t="e">
        <f ca="1">SUM($P$27:P34)+SUM($V$27:V34)</f>
        <v>#N/A</v>
      </c>
      <c r="R34" s="407" t="e">
        <f ca="1">ROUND((O27*$AX$28)+(O28*$AX$27),0)</f>
        <v>#N/A</v>
      </c>
      <c r="S34" s="248" t="e">
        <f ca="1">SUM($R$27:R34)</f>
        <v>#N/A</v>
      </c>
      <c r="T34" s="407" t="e">
        <f ca="1">ROUND((P27*$AX$28)+(P28*$AX$27),0)</f>
        <v>#N/A</v>
      </c>
      <c r="U34" s="244" t="e">
        <f ca="1">SUM($T$27:T34)</f>
        <v>#N/A</v>
      </c>
      <c r="V34" t="e">
        <f t="shared" ca="1" si="17"/>
        <v>#N/A</v>
      </c>
      <c r="W34" s="75" t="e">
        <f ca="1">SUM($V$27:V34)</f>
        <v>#N/A</v>
      </c>
      <c r="X34" s="78" t="e">
        <f t="shared" ca="1" si="4"/>
        <v>#N/A</v>
      </c>
      <c r="Y34" t="e">
        <f t="shared" si="5"/>
        <v>#N/A</v>
      </c>
      <c r="Z34" t="e">
        <f t="shared" ca="1" si="6"/>
        <v>#N/A</v>
      </c>
      <c r="AA34" s="75" t="e">
        <f ca="1">SUM($Z$27:Z34)</f>
        <v>#N/A</v>
      </c>
      <c r="AB34" t="e">
        <f t="shared" ca="1" si="7"/>
        <v>#N/A</v>
      </c>
      <c r="AC34" s="78" t="e">
        <f ca="1">SUM($AB$27:AB34)</f>
        <v>#N/A</v>
      </c>
      <c r="AD34" t="e">
        <f t="shared" ca="1" si="8"/>
        <v>#N/A</v>
      </c>
      <c r="AE34" t="e">
        <f t="shared" ca="1" si="18"/>
        <v>#N/A</v>
      </c>
      <c r="AF34" t="e">
        <f t="shared" ca="1" si="9"/>
        <v>#N/A</v>
      </c>
      <c r="AG34" t="e">
        <f t="shared" ca="1" si="25"/>
        <v>#N/A</v>
      </c>
      <c r="AH34" t="e">
        <f t="shared" ca="1" si="19"/>
        <v>#N/A</v>
      </c>
      <c r="AI34" t="e">
        <f t="shared" ca="1" si="26"/>
        <v>#N/A</v>
      </c>
      <c r="AJ34" t="e">
        <f ca="1">SUM($AI$27:AI34)</f>
        <v>#N/A</v>
      </c>
      <c r="AK34" t="e">
        <f t="shared" ca="1" si="27"/>
        <v>#N/A</v>
      </c>
      <c r="AL34" t="e">
        <f ca="1">SUM($AK$27:AK34)</f>
        <v>#N/A</v>
      </c>
      <c r="AM34" s="407" t="e">
        <f ca="1">ROUND((AE27*$AX$28)+(AE28*$AX$27),0)</f>
        <v>#N/A</v>
      </c>
      <c r="AN34" s="248" t="e">
        <f ca="1">SUM($T$27:T34)+SUM($AM$27:AM34)</f>
        <v>#N/A</v>
      </c>
      <c r="AO34" t="e">
        <f t="shared" ref="AO34:AO97" ca="1" si="30">SUM(AM34,T34,R34)</f>
        <v>#N/A</v>
      </c>
      <c r="AP34" t="e">
        <f ca="1">SUM($AO$27:AO34)</f>
        <v>#N/A</v>
      </c>
      <c r="AQ34" t="e">
        <f t="shared" ca="1" si="20"/>
        <v>#N/A</v>
      </c>
      <c r="AR34" t="e">
        <f t="shared" ca="1" si="10"/>
        <v>#N/A</v>
      </c>
      <c r="AS34" t="e">
        <f t="shared" ca="1" si="21"/>
        <v>#N/A</v>
      </c>
      <c r="AT34" t="e">
        <f t="shared" ca="1" si="22"/>
        <v>#N/A</v>
      </c>
      <c r="AU34" t="e">
        <f t="shared" ca="1" si="23"/>
        <v>#N/A</v>
      </c>
      <c r="AW34" s="198">
        <v>14</v>
      </c>
      <c r="AX34" s="397">
        <f t="shared" si="24"/>
        <v>5.4670024891997876E-2</v>
      </c>
      <c r="AZ34" t="e">
        <f t="shared" ca="1" si="11"/>
        <v>#N/A</v>
      </c>
      <c r="BA34" s="105" t="e">
        <f t="shared" ca="1" si="12"/>
        <v>#N/A</v>
      </c>
    </row>
    <row r="35" spans="2:53" x14ac:dyDescent="0.25">
      <c r="B35" s="105">
        <f>'PEP Impact Model'!B27</f>
        <v>8</v>
      </c>
      <c r="C35">
        <f>'PEP Impact Model'!C27</f>
        <v>9</v>
      </c>
      <c r="D35" s="78" t="e">
        <f ca="1">IF('PEP Impact Model'!$O$80=0,'PEP Impact Model'!J27,'PEP Impact Model'!O27)</f>
        <v>#N/A</v>
      </c>
      <c r="E35" s="78" t="e">
        <f t="shared" ca="1" si="28"/>
        <v>#N/A</v>
      </c>
      <c r="F35" t="e">
        <f t="shared" ca="1" si="13"/>
        <v>#N/A</v>
      </c>
      <c r="G35" t="e">
        <f ca="1">SUM($F$27:F35)</f>
        <v>#N/A</v>
      </c>
      <c r="H35" t="e">
        <f t="shared" si="0"/>
        <v>#N/A</v>
      </c>
      <c r="I35" t="e">
        <f t="shared" ca="1" si="1"/>
        <v>#N/A</v>
      </c>
      <c r="J35" t="e">
        <f ca="1">SUM($I$27:I35)</f>
        <v>#N/A</v>
      </c>
      <c r="K35" t="e">
        <f t="shared" ca="1" si="2"/>
        <v>#N/A</v>
      </c>
      <c r="L35" t="e">
        <f t="shared" ca="1" si="3"/>
        <v>#N/A</v>
      </c>
      <c r="M35" s="888">
        <f t="shared" si="14"/>
        <v>0.5</v>
      </c>
      <c r="N35" s="248" t="e">
        <f t="shared" ca="1" si="15"/>
        <v>#N/A</v>
      </c>
      <c r="O35" s="248" t="e">
        <f t="shared" ca="1" si="16"/>
        <v>#N/A</v>
      </c>
      <c r="P35" s="248" t="e">
        <f t="shared" ca="1" si="29"/>
        <v>#N/A</v>
      </c>
      <c r="Q35" s="244" t="e">
        <f ca="1">SUM($P$27:P35)+SUM($V$27:V35)</f>
        <v>#N/A</v>
      </c>
      <c r="R35" s="407" t="e">
        <f ca="1">ROUND((O27*$AX$29)+(O28*$AX$28)+(O29*$AX$27),0)</f>
        <v>#N/A</v>
      </c>
      <c r="S35" s="248" t="e">
        <f ca="1">SUM($R$27:R35)</f>
        <v>#N/A</v>
      </c>
      <c r="T35" s="407" t="e">
        <f ca="1">ROUND((P27*$AX$29)+(P28*$AX$28)+(P29*$AX$27),0)</f>
        <v>#N/A</v>
      </c>
      <c r="U35" s="244" t="e">
        <f ca="1">SUM($T$27:T35)</f>
        <v>#N/A</v>
      </c>
      <c r="V35" t="e">
        <f t="shared" ca="1" si="17"/>
        <v>#N/A</v>
      </c>
      <c r="W35" s="75" t="e">
        <f ca="1">SUM($V$27:V35)</f>
        <v>#N/A</v>
      </c>
      <c r="X35" s="78" t="e">
        <f t="shared" ca="1" si="4"/>
        <v>#N/A</v>
      </c>
      <c r="Y35" t="e">
        <f t="shared" si="5"/>
        <v>#N/A</v>
      </c>
      <c r="Z35" t="e">
        <f t="shared" ca="1" si="6"/>
        <v>#N/A</v>
      </c>
      <c r="AA35" s="75" t="e">
        <f ca="1">SUM($Z$27:Z35)</f>
        <v>#N/A</v>
      </c>
      <c r="AB35" t="e">
        <f t="shared" ca="1" si="7"/>
        <v>#N/A</v>
      </c>
      <c r="AC35" s="78" t="e">
        <f ca="1">SUM($AB$27:AB35)</f>
        <v>#N/A</v>
      </c>
      <c r="AD35" t="e">
        <f t="shared" ca="1" si="8"/>
        <v>#N/A</v>
      </c>
      <c r="AE35" t="e">
        <f t="shared" ca="1" si="18"/>
        <v>#N/A</v>
      </c>
      <c r="AF35" t="e">
        <f t="shared" ca="1" si="9"/>
        <v>#N/A</v>
      </c>
      <c r="AG35" t="e">
        <f t="shared" ca="1" si="25"/>
        <v>#N/A</v>
      </c>
      <c r="AH35" t="e">
        <f t="shared" ca="1" si="19"/>
        <v>#N/A</v>
      </c>
      <c r="AI35" t="e">
        <f t="shared" ca="1" si="26"/>
        <v>#N/A</v>
      </c>
      <c r="AJ35" t="e">
        <f ca="1">SUM($AI$27:AI35)</f>
        <v>#N/A</v>
      </c>
      <c r="AK35" t="e">
        <f t="shared" ca="1" si="27"/>
        <v>#N/A</v>
      </c>
      <c r="AL35" t="e">
        <f ca="1">SUM($AK$27:AK35)</f>
        <v>#N/A</v>
      </c>
      <c r="AM35" s="407" t="e">
        <f ca="1">ROUND((AE27*$AX$29)+(AE28*$AX$28)+(AE29*$AX$27),0)</f>
        <v>#N/A</v>
      </c>
      <c r="AN35" s="248" t="e">
        <f ca="1">SUM($T$27:T35)+SUM($AM$27:AM35)</f>
        <v>#N/A</v>
      </c>
      <c r="AO35" t="e">
        <f t="shared" ca="1" si="30"/>
        <v>#N/A</v>
      </c>
      <c r="AP35" t="e">
        <f ca="1">SUM($AO$27:AO35)</f>
        <v>#N/A</v>
      </c>
      <c r="AQ35" t="e">
        <f t="shared" ca="1" si="20"/>
        <v>#N/A</v>
      </c>
      <c r="AR35" t="e">
        <f t="shared" ca="1" si="10"/>
        <v>#N/A</v>
      </c>
      <c r="AS35" t="e">
        <f t="shared" ca="1" si="21"/>
        <v>#N/A</v>
      </c>
      <c r="AT35" t="e">
        <f t="shared" ca="1" si="22"/>
        <v>#N/A</v>
      </c>
      <c r="AU35" t="e">
        <f t="shared" ca="1" si="23"/>
        <v>#N/A</v>
      </c>
      <c r="AW35" s="198">
        <v>15</v>
      </c>
      <c r="AX35" s="397">
        <f t="shared" si="24"/>
        <v>8.0656908173047798E-2</v>
      </c>
      <c r="AZ35" t="e">
        <f t="shared" ca="1" si="11"/>
        <v>#N/A</v>
      </c>
      <c r="BA35" s="105" t="e">
        <f t="shared" ca="1" si="12"/>
        <v>#N/A</v>
      </c>
    </row>
    <row r="36" spans="2:53" x14ac:dyDescent="0.25">
      <c r="B36" s="105">
        <f>'PEP Impact Model'!B28</f>
        <v>9</v>
      </c>
      <c r="C36">
        <f>'PEP Impact Model'!C28</f>
        <v>10</v>
      </c>
      <c r="D36" s="78" t="e">
        <f ca="1">IF('PEP Impact Model'!$O$80=0,'PEP Impact Model'!J28,'PEP Impact Model'!O28)</f>
        <v>#N/A</v>
      </c>
      <c r="E36" s="78" t="e">
        <f t="shared" ca="1" si="28"/>
        <v>#N/A</v>
      </c>
      <c r="F36" t="e">
        <f t="shared" ca="1" si="13"/>
        <v>#N/A</v>
      </c>
      <c r="G36" t="e">
        <f ca="1">SUM($F$27:F36)</f>
        <v>#N/A</v>
      </c>
      <c r="H36" t="e">
        <f t="shared" si="0"/>
        <v>#N/A</v>
      </c>
      <c r="I36" t="e">
        <f t="shared" ca="1" si="1"/>
        <v>#N/A</v>
      </c>
      <c r="J36" t="e">
        <f ca="1">SUM($I$27:I36)</f>
        <v>#N/A</v>
      </c>
      <c r="K36" t="e">
        <f t="shared" ca="1" si="2"/>
        <v>#N/A</v>
      </c>
      <c r="L36" t="e">
        <f t="shared" ca="1" si="3"/>
        <v>#N/A</v>
      </c>
      <c r="M36" s="888">
        <f t="shared" si="14"/>
        <v>0.5</v>
      </c>
      <c r="N36" s="248" t="e">
        <f t="shared" ca="1" si="15"/>
        <v>#N/A</v>
      </c>
      <c r="O36" s="248" t="e">
        <f t="shared" ca="1" si="16"/>
        <v>#N/A</v>
      </c>
      <c r="P36" s="248" t="e">
        <f t="shared" ca="1" si="29"/>
        <v>#N/A</v>
      </c>
      <c r="Q36" s="244" t="e">
        <f ca="1">SUM($P$27:P36)+SUM($V$27:V36)</f>
        <v>#N/A</v>
      </c>
      <c r="R36" s="407" t="e">
        <f ca="1">ROUND((O27*$AX$30)+(O28*$AX$29)+(O29*$AX$28)+(O30*$AX$27),0)</f>
        <v>#N/A</v>
      </c>
      <c r="S36" s="248" t="e">
        <f ca="1">SUM($R$27:R36)</f>
        <v>#N/A</v>
      </c>
      <c r="T36" s="407" t="e">
        <f ca="1">ROUND((P27*$AX$30)+(P28*$AX$29)+(P29*$AX$28)+(P30*$AX$27),0)</f>
        <v>#N/A</v>
      </c>
      <c r="U36" s="244" t="e">
        <f ca="1">SUM($T$27:T36)</f>
        <v>#N/A</v>
      </c>
      <c r="V36" t="e">
        <f t="shared" ca="1" si="17"/>
        <v>#N/A</v>
      </c>
      <c r="W36" s="75" t="e">
        <f ca="1">SUM($V$27:V36)</f>
        <v>#N/A</v>
      </c>
      <c r="X36" s="78" t="e">
        <f t="shared" ca="1" si="4"/>
        <v>#N/A</v>
      </c>
      <c r="Y36" t="e">
        <f t="shared" si="5"/>
        <v>#N/A</v>
      </c>
      <c r="Z36" t="e">
        <f t="shared" ca="1" si="6"/>
        <v>#N/A</v>
      </c>
      <c r="AA36" s="75" t="e">
        <f ca="1">SUM($Z$27:Z36)</f>
        <v>#N/A</v>
      </c>
      <c r="AB36" t="e">
        <f t="shared" ca="1" si="7"/>
        <v>#N/A</v>
      </c>
      <c r="AC36" s="78" t="e">
        <f ca="1">SUM($AB$27:AB36)</f>
        <v>#N/A</v>
      </c>
      <c r="AD36" t="e">
        <f t="shared" ca="1" si="8"/>
        <v>#N/A</v>
      </c>
      <c r="AE36" t="e">
        <f t="shared" ca="1" si="18"/>
        <v>#N/A</v>
      </c>
      <c r="AF36" t="e">
        <f t="shared" ca="1" si="9"/>
        <v>#N/A</v>
      </c>
      <c r="AG36" t="e">
        <f t="shared" ca="1" si="25"/>
        <v>#N/A</v>
      </c>
      <c r="AH36" t="e">
        <f t="shared" ca="1" si="19"/>
        <v>#N/A</v>
      </c>
      <c r="AI36" t="e">
        <f t="shared" ca="1" si="26"/>
        <v>#N/A</v>
      </c>
      <c r="AJ36" t="e">
        <f ca="1">SUM($AI$27:AI36)</f>
        <v>#N/A</v>
      </c>
      <c r="AK36" t="e">
        <f t="shared" ca="1" si="27"/>
        <v>#N/A</v>
      </c>
      <c r="AL36" t="e">
        <f ca="1">SUM($AK$27:AK36)</f>
        <v>#N/A</v>
      </c>
      <c r="AM36" s="407" t="e">
        <f ca="1">ROUND((AE27*$AX$30)+(AE28*$AX$29)+(AE29*$AX$28)+(AE30*$AX$27),0)</f>
        <v>#N/A</v>
      </c>
      <c r="AN36" s="248" t="e">
        <f ca="1">SUM($T$27:T36)+SUM($AM$27:AM36)</f>
        <v>#N/A</v>
      </c>
      <c r="AO36" t="e">
        <f t="shared" ca="1" si="30"/>
        <v>#N/A</v>
      </c>
      <c r="AP36" t="e">
        <f ca="1">SUM($AO$27:AO36)</f>
        <v>#N/A</v>
      </c>
      <c r="AQ36" t="e">
        <f t="shared" ca="1" si="20"/>
        <v>#N/A</v>
      </c>
      <c r="AR36" t="e">
        <f t="shared" ca="1" si="10"/>
        <v>#N/A</v>
      </c>
      <c r="AS36" t="e">
        <f t="shared" ca="1" si="21"/>
        <v>#N/A</v>
      </c>
      <c r="AT36" t="e">
        <f t="shared" ca="1" si="22"/>
        <v>#N/A</v>
      </c>
      <c r="AU36" t="e">
        <f t="shared" ca="1" si="23"/>
        <v>#N/A</v>
      </c>
      <c r="AW36" s="198">
        <v>16</v>
      </c>
      <c r="AX36" s="397">
        <f t="shared" si="24"/>
        <v>0.10648266850745074</v>
      </c>
      <c r="AZ36" t="e">
        <f t="shared" ca="1" si="11"/>
        <v>#N/A</v>
      </c>
      <c r="BA36" s="105" t="e">
        <f t="shared" ca="1" si="12"/>
        <v>#N/A</v>
      </c>
    </row>
    <row r="37" spans="2:53" x14ac:dyDescent="0.25">
      <c r="B37" s="105">
        <f>'PEP Impact Model'!B29</f>
        <v>10</v>
      </c>
      <c r="C37">
        <f>'PEP Impact Model'!C29</f>
        <v>11</v>
      </c>
      <c r="D37" s="78" t="e">
        <f ca="1">IF('PEP Impact Model'!$O$80=0,'PEP Impact Model'!J29,'PEP Impact Model'!O29)</f>
        <v>#N/A</v>
      </c>
      <c r="E37" s="78" t="e">
        <f t="shared" ca="1" si="28"/>
        <v>#N/A</v>
      </c>
      <c r="F37" t="e">
        <f t="shared" ca="1" si="13"/>
        <v>#N/A</v>
      </c>
      <c r="G37" t="e">
        <f ca="1">SUM($F$27:F37)</f>
        <v>#N/A</v>
      </c>
      <c r="H37" t="e">
        <f t="shared" si="0"/>
        <v>#N/A</v>
      </c>
      <c r="I37" t="e">
        <f t="shared" ca="1" si="1"/>
        <v>#N/A</v>
      </c>
      <c r="J37" t="e">
        <f ca="1">SUM($I$27:I37)</f>
        <v>#N/A</v>
      </c>
      <c r="K37" t="e">
        <f t="shared" ca="1" si="2"/>
        <v>#N/A</v>
      </c>
      <c r="L37" t="e">
        <f t="shared" ca="1" si="3"/>
        <v>#N/A</v>
      </c>
      <c r="M37" s="888">
        <f t="shared" si="14"/>
        <v>0.5</v>
      </c>
      <c r="N37" s="248" t="e">
        <f t="shared" ca="1" si="15"/>
        <v>#N/A</v>
      </c>
      <c r="O37" s="248" t="e">
        <f t="shared" ca="1" si="16"/>
        <v>#N/A</v>
      </c>
      <c r="P37" s="248" t="e">
        <f t="shared" ca="1" si="29"/>
        <v>#N/A</v>
      </c>
      <c r="Q37" s="244" t="e">
        <f ca="1">SUM($P$27:P37)+SUM($V$27:V37)</f>
        <v>#N/A</v>
      </c>
      <c r="R37" s="407" t="e">
        <f ca="1">ROUND((O27*$AX$31)+(O28*$AX$30)+(O29*$AX$29)+(O30*$AX$28)+(O31*$AX$27),0)</f>
        <v>#N/A</v>
      </c>
      <c r="S37" s="248" t="e">
        <f ca="1">SUM($R$27:R37)</f>
        <v>#N/A</v>
      </c>
      <c r="T37" s="407" t="e">
        <f ca="1">ROUND((P27*$AX$31)+(P28*$AX$30)+(P29*$AX$29)+(P30*$AX$28)+(P31*$AX$27),0)</f>
        <v>#N/A</v>
      </c>
      <c r="U37" s="244" t="e">
        <f ca="1">SUM($T$27:T37)</f>
        <v>#N/A</v>
      </c>
      <c r="V37" t="e">
        <f t="shared" ca="1" si="17"/>
        <v>#N/A</v>
      </c>
      <c r="W37" s="75" t="e">
        <f ca="1">SUM($V$27:V37)</f>
        <v>#N/A</v>
      </c>
      <c r="X37" s="78" t="e">
        <f t="shared" ca="1" si="4"/>
        <v>#N/A</v>
      </c>
      <c r="Y37" t="e">
        <f t="shared" si="5"/>
        <v>#N/A</v>
      </c>
      <c r="Z37" t="e">
        <f t="shared" ca="1" si="6"/>
        <v>#N/A</v>
      </c>
      <c r="AA37" s="75" t="e">
        <f ca="1">SUM($Z$27:Z37)</f>
        <v>#N/A</v>
      </c>
      <c r="AB37" t="e">
        <f t="shared" ca="1" si="7"/>
        <v>#N/A</v>
      </c>
      <c r="AC37" s="78" t="e">
        <f ca="1">SUM($AB$27:AB37)</f>
        <v>#N/A</v>
      </c>
      <c r="AD37" t="e">
        <f t="shared" ca="1" si="8"/>
        <v>#N/A</v>
      </c>
      <c r="AE37" t="e">
        <f t="shared" ca="1" si="18"/>
        <v>#N/A</v>
      </c>
      <c r="AF37" t="e">
        <f t="shared" ca="1" si="9"/>
        <v>#N/A</v>
      </c>
      <c r="AG37" t="e">
        <f t="shared" ca="1" si="25"/>
        <v>#N/A</v>
      </c>
      <c r="AH37" t="e">
        <f t="shared" ca="1" si="19"/>
        <v>#N/A</v>
      </c>
      <c r="AI37" t="e">
        <f t="shared" ca="1" si="26"/>
        <v>#N/A</v>
      </c>
      <c r="AJ37" t="e">
        <f ca="1">SUM($AI$27:AI37)</f>
        <v>#N/A</v>
      </c>
      <c r="AK37" t="e">
        <f t="shared" ca="1" si="27"/>
        <v>#N/A</v>
      </c>
      <c r="AL37" t="e">
        <f ca="1">SUM($AK$27:AK37)</f>
        <v>#N/A</v>
      </c>
      <c r="AM37" s="407" t="e">
        <f ca="1">ROUND((AE27*$AX$31)+(AE28*$AX$30)+(AE29*$AX$29)+(AE30*$AX$28)+(AE31*$AX$27),0)</f>
        <v>#N/A</v>
      </c>
      <c r="AN37" s="248" t="e">
        <f ca="1">SUM($T$27:T37)+SUM($AM$27:AM37)</f>
        <v>#N/A</v>
      </c>
      <c r="AO37" t="e">
        <f t="shared" ca="1" si="30"/>
        <v>#N/A</v>
      </c>
      <c r="AP37" t="e">
        <f ca="1">SUM($AO$27:AO37)</f>
        <v>#N/A</v>
      </c>
      <c r="AQ37" t="e">
        <f t="shared" ca="1" si="20"/>
        <v>#N/A</v>
      </c>
      <c r="AR37" t="e">
        <f t="shared" ca="1" si="10"/>
        <v>#N/A</v>
      </c>
      <c r="AS37" t="e">
        <f t="shared" ca="1" si="21"/>
        <v>#N/A</v>
      </c>
      <c r="AT37" t="e">
        <f t="shared" ca="1" si="22"/>
        <v>#N/A</v>
      </c>
      <c r="AU37" t="e">
        <f t="shared" ca="1" si="23"/>
        <v>#N/A</v>
      </c>
      <c r="AW37" s="198">
        <v>17</v>
      </c>
      <c r="AX37" s="397">
        <f t="shared" si="24"/>
        <v>0.12579440923099772</v>
      </c>
      <c r="AZ37" t="e">
        <f t="shared" ca="1" si="11"/>
        <v>#N/A</v>
      </c>
      <c r="BA37" s="105" t="e">
        <f t="shared" ca="1" si="12"/>
        <v>#N/A</v>
      </c>
    </row>
    <row r="38" spans="2:53" x14ac:dyDescent="0.25">
      <c r="B38" s="105">
        <f>'PEP Impact Model'!B30</f>
        <v>11</v>
      </c>
      <c r="C38">
        <f>'PEP Impact Model'!C30</f>
        <v>12</v>
      </c>
      <c r="D38" s="78" t="e">
        <f ca="1">IF('PEP Impact Model'!$O$80=0,'PEP Impact Model'!J30,'PEP Impact Model'!O30)</f>
        <v>#N/A</v>
      </c>
      <c r="E38" s="78" t="e">
        <f t="shared" ca="1" si="28"/>
        <v>#N/A</v>
      </c>
      <c r="F38" t="e">
        <f t="shared" ca="1" si="13"/>
        <v>#N/A</v>
      </c>
      <c r="G38" t="e">
        <f ca="1">SUM($F$27:F38)</f>
        <v>#N/A</v>
      </c>
      <c r="H38" t="e">
        <f t="shared" si="0"/>
        <v>#N/A</v>
      </c>
      <c r="I38" t="e">
        <f t="shared" ca="1" si="1"/>
        <v>#N/A</v>
      </c>
      <c r="J38" t="e">
        <f ca="1">SUM($I$27:I38)</f>
        <v>#N/A</v>
      </c>
      <c r="K38" t="e">
        <f t="shared" ca="1" si="2"/>
        <v>#N/A</v>
      </c>
      <c r="L38" t="e">
        <f t="shared" ca="1" si="3"/>
        <v>#N/A</v>
      </c>
      <c r="M38" s="888">
        <f t="shared" si="14"/>
        <v>0.5</v>
      </c>
      <c r="N38" s="248" t="e">
        <f t="shared" ca="1" si="15"/>
        <v>#N/A</v>
      </c>
      <c r="O38" s="248" t="e">
        <f t="shared" ca="1" si="16"/>
        <v>#N/A</v>
      </c>
      <c r="P38" s="248" t="e">
        <f t="shared" ca="1" si="29"/>
        <v>#N/A</v>
      </c>
      <c r="Q38" s="244" t="e">
        <f ca="1">SUM($P$27:P38)+SUM($V$27:V38)</f>
        <v>#N/A</v>
      </c>
      <c r="R38" s="407" t="e">
        <f ca="1">ROUND((O27*$AX$32)+(O28*$AX$31)+(O29*$AX$30)+(O30*$AX$29)+(O31*$AX$28)+(O32*$AX$27),0)</f>
        <v>#N/A</v>
      </c>
      <c r="S38" s="248" t="e">
        <f ca="1">SUM($R$27:R38)</f>
        <v>#N/A</v>
      </c>
      <c r="T38" s="407" t="e">
        <f ca="1">ROUND((P27*$AX$32)+(P28*$AX$31)+(P29*$AX$30)+(P30*$AX$29)+(P31*$AX$28)+(P32*$AX$27),0)</f>
        <v>#N/A</v>
      </c>
      <c r="U38" s="244" t="e">
        <f ca="1">SUM($T$27:T38)</f>
        <v>#N/A</v>
      </c>
      <c r="V38" t="e">
        <f t="shared" ca="1" si="17"/>
        <v>#N/A</v>
      </c>
      <c r="W38" s="75" t="e">
        <f ca="1">SUM($V$27:V38)</f>
        <v>#N/A</v>
      </c>
      <c r="X38" s="78" t="e">
        <f t="shared" ca="1" si="4"/>
        <v>#N/A</v>
      </c>
      <c r="Y38" t="e">
        <f t="shared" si="5"/>
        <v>#N/A</v>
      </c>
      <c r="Z38" t="e">
        <f t="shared" ca="1" si="6"/>
        <v>#N/A</v>
      </c>
      <c r="AA38" s="75" t="e">
        <f ca="1">SUM($Z$27:Z38)</f>
        <v>#N/A</v>
      </c>
      <c r="AB38" t="e">
        <f t="shared" ca="1" si="7"/>
        <v>#N/A</v>
      </c>
      <c r="AC38" s="78" t="e">
        <f ca="1">SUM($AB$27:AB38)</f>
        <v>#N/A</v>
      </c>
      <c r="AD38" t="e">
        <f t="shared" ca="1" si="8"/>
        <v>#N/A</v>
      </c>
      <c r="AE38" t="e">
        <f t="shared" ca="1" si="18"/>
        <v>#N/A</v>
      </c>
      <c r="AF38" t="e">
        <f t="shared" ca="1" si="9"/>
        <v>#N/A</v>
      </c>
      <c r="AG38" t="e">
        <f t="shared" ca="1" si="25"/>
        <v>#N/A</v>
      </c>
      <c r="AH38" t="e">
        <f t="shared" ca="1" si="19"/>
        <v>#N/A</v>
      </c>
      <c r="AI38" t="e">
        <f t="shared" ca="1" si="26"/>
        <v>#N/A</v>
      </c>
      <c r="AJ38" t="e">
        <f ca="1">SUM($AI$27:AI38)</f>
        <v>#N/A</v>
      </c>
      <c r="AK38" t="e">
        <f t="shared" ca="1" si="27"/>
        <v>#N/A</v>
      </c>
      <c r="AL38" t="e">
        <f ca="1">SUM($AK$27:AK38)</f>
        <v>#N/A</v>
      </c>
      <c r="AM38" s="407" t="e">
        <f ca="1">ROUND((AE27*$AX$32)+(AE28*$AX$31)+(AE29*$AX$30)+(AE30*$AX$29)+(AE31*$AX$28)+(AE32*$AX$27),0)</f>
        <v>#N/A</v>
      </c>
      <c r="AN38" s="248" t="e">
        <f ca="1">SUM($T$27:T38)+SUM($AM$27:AM38)</f>
        <v>#N/A</v>
      </c>
      <c r="AO38" t="e">
        <f t="shared" ca="1" si="30"/>
        <v>#N/A</v>
      </c>
      <c r="AP38" t="e">
        <f ca="1">SUM($AO$27:AO38)</f>
        <v>#N/A</v>
      </c>
      <c r="AQ38" t="e">
        <f t="shared" ca="1" si="20"/>
        <v>#N/A</v>
      </c>
      <c r="AR38" t="e">
        <f t="shared" ca="1" si="10"/>
        <v>#N/A</v>
      </c>
      <c r="AS38" t="e">
        <f t="shared" ca="1" si="21"/>
        <v>#N/A</v>
      </c>
      <c r="AT38" t="e">
        <f t="shared" ca="1" si="22"/>
        <v>#N/A</v>
      </c>
      <c r="AU38" t="e">
        <f t="shared" ca="1" si="23"/>
        <v>#N/A</v>
      </c>
      <c r="AW38" s="198">
        <v>18</v>
      </c>
      <c r="AX38" s="397">
        <f t="shared" si="24"/>
        <v>0.13298076013381088</v>
      </c>
      <c r="AZ38" t="e">
        <f t="shared" ca="1" si="11"/>
        <v>#N/A</v>
      </c>
      <c r="BA38" s="105" t="e">
        <f t="shared" ca="1" si="12"/>
        <v>#N/A</v>
      </c>
    </row>
    <row r="39" spans="2:53" x14ac:dyDescent="0.25">
      <c r="B39" s="105">
        <f>'PEP Impact Model'!B31</f>
        <v>12</v>
      </c>
      <c r="C39">
        <f>'PEP Impact Model'!C31</f>
        <v>13</v>
      </c>
      <c r="D39" s="78" t="e">
        <f ca="1">IF('PEP Impact Model'!$O$80=0,'PEP Impact Model'!J31,'PEP Impact Model'!O31)</f>
        <v>#N/A</v>
      </c>
      <c r="E39" s="78" t="e">
        <f t="shared" ca="1" si="28"/>
        <v>#N/A</v>
      </c>
      <c r="F39" t="e">
        <f t="shared" ca="1" si="13"/>
        <v>#N/A</v>
      </c>
      <c r="G39" t="e">
        <f ca="1">SUM($F$27:F39)</f>
        <v>#N/A</v>
      </c>
      <c r="H39" t="e">
        <f t="shared" si="0"/>
        <v>#N/A</v>
      </c>
      <c r="I39" t="e">
        <f t="shared" ca="1" si="1"/>
        <v>#N/A</v>
      </c>
      <c r="J39" t="e">
        <f ca="1">SUM($I$27:I39)</f>
        <v>#N/A</v>
      </c>
      <c r="K39" t="e">
        <f t="shared" ca="1" si="2"/>
        <v>#N/A</v>
      </c>
      <c r="L39" t="e">
        <f t="shared" ca="1" si="3"/>
        <v>#N/A</v>
      </c>
      <c r="M39" s="888">
        <f t="shared" si="14"/>
        <v>0.5</v>
      </c>
      <c r="N39" s="248" t="e">
        <f t="shared" ca="1" si="15"/>
        <v>#N/A</v>
      </c>
      <c r="O39" s="248" t="e">
        <f t="shared" ca="1" si="16"/>
        <v>#N/A</v>
      </c>
      <c r="P39" s="248" t="e">
        <f t="shared" ca="1" si="29"/>
        <v>#N/A</v>
      </c>
      <c r="Q39" s="244" t="e">
        <f ca="1">SUM($P$27:P39)+SUM($V$27:V39)</f>
        <v>#N/A</v>
      </c>
      <c r="R39" s="407" t="e">
        <f ca="1">ROUND((O27*$AX$33)+(O28*$AX$32)+(O29*$AX$31)+(O30*$AX$30)+(O31*$AX$29)+(O32*$AX$28)+(O33*$AX$27),0)</f>
        <v>#N/A</v>
      </c>
      <c r="S39" s="248" t="e">
        <f ca="1">SUM($R$27:R39)</f>
        <v>#N/A</v>
      </c>
      <c r="T39" s="407" t="e">
        <f ca="1">ROUND((P27*$AX$33)+(P28*$AX$32)+(P29*$AX$31)+(P30*$AX$30)+(P31*$AX$29)+(P32*$AX$28)+(P33*$AX$27),0)</f>
        <v>#N/A</v>
      </c>
      <c r="U39" s="244" t="e">
        <f ca="1">SUM($T$27:T39)</f>
        <v>#N/A</v>
      </c>
      <c r="V39" t="e">
        <f t="shared" ca="1" si="17"/>
        <v>#N/A</v>
      </c>
      <c r="W39" s="75" t="e">
        <f ca="1">SUM($V$27:V39)</f>
        <v>#N/A</v>
      </c>
      <c r="X39" s="78" t="e">
        <f t="shared" ca="1" si="4"/>
        <v>#N/A</v>
      </c>
      <c r="Y39" t="e">
        <f t="shared" si="5"/>
        <v>#N/A</v>
      </c>
      <c r="Z39" t="e">
        <f t="shared" ca="1" si="6"/>
        <v>#N/A</v>
      </c>
      <c r="AA39" s="75" t="e">
        <f ca="1">SUM($Z$27:Z39)</f>
        <v>#N/A</v>
      </c>
      <c r="AB39" t="e">
        <f t="shared" ca="1" si="7"/>
        <v>#N/A</v>
      </c>
      <c r="AC39" s="78" t="e">
        <f ca="1">SUM($AB$27:AB39)</f>
        <v>#N/A</v>
      </c>
      <c r="AD39" t="e">
        <f t="shared" ca="1" si="8"/>
        <v>#N/A</v>
      </c>
      <c r="AE39" t="e">
        <f t="shared" ca="1" si="18"/>
        <v>#N/A</v>
      </c>
      <c r="AF39" t="e">
        <f t="shared" ca="1" si="9"/>
        <v>#N/A</v>
      </c>
      <c r="AG39" t="e">
        <f t="shared" ca="1" si="25"/>
        <v>#N/A</v>
      </c>
      <c r="AH39" t="e">
        <f t="shared" ca="1" si="19"/>
        <v>#N/A</v>
      </c>
      <c r="AI39" t="e">
        <f t="shared" ca="1" si="26"/>
        <v>#N/A</v>
      </c>
      <c r="AJ39" t="e">
        <f ca="1">SUM($AI$27:AI39)</f>
        <v>#N/A</v>
      </c>
      <c r="AK39" t="e">
        <f t="shared" ca="1" si="27"/>
        <v>#N/A</v>
      </c>
      <c r="AL39" t="e">
        <f ca="1">SUM($AK$27:AK39)</f>
        <v>#N/A</v>
      </c>
      <c r="AM39" s="407" t="e">
        <f ca="1">ROUND((AE27*$AX$33)+(AE28*$AX$32)+(AE29*$AX$31)+(AE30*$AX$30)+(AE31*$AX$29)+(AE32*$AX$28)+(AE33*$AX$27),0)</f>
        <v>#N/A</v>
      </c>
      <c r="AN39" s="248" t="e">
        <f ca="1">SUM($T$27:T39)+SUM($AM$27:AM39)</f>
        <v>#N/A</v>
      </c>
      <c r="AO39" t="e">
        <f t="shared" ca="1" si="30"/>
        <v>#N/A</v>
      </c>
      <c r="AP39" t="e">
        <f ca="1">SUM($AO$27:AO39)</f>
        <v>#N/A</v>
      </c>
      <c r="AQ39" t="e">
        <f t="shared" ca="1" si="20"/>
        <v>#N/A</v>
      </c>
      <c r="AR39" t="e">
        <f t="shared" ca="1" si="10"/>
        <v>#N/A</v>
      </c>
      <c r="AS39" t="e">
        <f t="shared" ca="1" si="21"/>
        <v>#N/A</v>
      </c>
      <c r="AT39" t="e">
        <f t="shared" ca="1" si="22"/>
        <v>#N/A</v>
      </c>
      <c r="AU39" t="e">
        <f t="shared" ca="1" si="23"/>
        <v>#N/A</v>
      </c>
      <c r="AW39" s="198">
        <v>19</v>
      </c>
      <c r="AX39" s="397">
        <f t="shared" si="24"/>
        <v>0.12579440923099772</v>
      </c>
      <c r="AZ39" t="e">
        <f t="shared" ca="1" si="11"/>
        <v>#N/A</v>
      </c>
      <c r="BA39" s="105" t="e">
        <f t="shared" ca="1" si="12"/>
        <v>#N/A</v>
      </c>
    </row>
    <row r="40" spans="2:53" x14ac:dyDescent="0.25">
      <c r="B40" s="105">
        <f>'PEP Impact Model'!B32</f>
        <v>13</v>
      </c>
      <c r="C40">
        <f>'PEP Impact Model'!C32</f>
        <v>14</v>
      </c>
      <c r="D40" s="78" t="e">
        <f ca="1">IF('PEP Impact Model'!$O$80=0,'PEP Impact Model'!J32,'PEP Impact Model'!O32)</f>
        <v>#N/A</v>
      </c>
      <c r="E40" s="78" t="e">
        <f t="shared" ca="1" si="28"/>
        <v>#N/A</v>
      </c>
      <c r="F40" t="e">
        <f t="shared" ca="1" si="13"/>
        <v>#N/A</v>
      </c>
      <c r="G40" t="e">
        <f ca="1">SUM($F$27:F40)</f>
        <v>#N/A</v>
      </c>
      <c r="H40" t="e">
        <f t="shared" si="0"/>
        <v>#N/A</v>
      </c>
      <c r="I40" t="e">
        <f t="shared" ca="1" si="1"/>
        <v>#N/A</v>
      </c>
      <c r="J40" t="e">
        <f ca="1">SUM($I$27:I40)</f>
        <v>#N/A</v>
      </c>
      <c r="K40" t="e">
        <f t="shared" ca="1" si="2"/>
        <v>#N/A</v>
      </c>
      <c r="L40" t="e">
        <f t="shared" ca="1" si="3"/>
        <v>#N/A</v>
      </c>
      <c r="M40" s="888">
        <f t="shared" si="14"/>
        <v>0.5</v>
      </c>
      <c r="N40" s="248" t="e">
        <f t="shared" ca="1" si="15"/>
        <v>#N/A</v>
      </c>
      <c r="O40" s="248" t="e">
        <f t="shared" ca="1" si="16"/>
        <v>#N/A</v>
      </c>
      <c r="P40" s="248" t="e">
        <f t="shared" ca="1" si="29"/>
        <v>#N/A</v>
      </c>
      <c r="Q40" s="244" t="e">
        <f ca="1">SUM($P$27:P40)+SUM($V$27:V40)</f>
        <v>#N/A</v>
      </c>
      <c r="R40" s="407" t="e">
        <f ca="1">ROUND((O27*$AX$34)+(O28*$AX$33)+(O29*$AX$32)+(O30*$AX$31)+(O31*$AX$30)+(O32*$AX$29)+(O33*$AX$28)+(O34*$AX$27),0)</f>
        <v>#N/A</v>
      </c>
      <c r="S40" s="248" t="e">
        <f ca="1">SUM($R$27:R40)</f>
        <v>#N/A</v>
      </c>
      <c r="T40" s="407" t="e">
        <f ca="1">ROUND((P27*$AX$34)+(P28*$AX$33)+(P29*$AX$32)+(P30*$AX$31)+(P31*$AX$30)+(P32*$AX$29)+(P33*$AX$28)+(P34*$AX$27),0)</f>
        <v>#N/A</v>
      </c>
      <c r="U40" s="244" t="e">
        <f ca="1">SUM($T$27:T40)</f>
        <v>#N/A</v>
      </c>
      <c r="V40" t="e">
        <f t="shared" ca="1" si="17"/>
        <v>#N/A</v>
      </c>
      <c r="W40" s="75" t="e">
        <f ca="1">SUM($V$27:V40)</f>
        <v>#N/A</v>
      </c>
      <c r="X40" s="78" t="e">
        <f t="shared" ca="1" si="4"/>
        <v>#N/A</v>
      </c>
      <c r="Y40" t="e">
        <f t="shared" si="5"/>
        <v>#N/A</v>
      </c>
      <c r="Z40" t="e">
        <f t="shared" ca="1" si="6"/>
        <v>#N/A</v>
      </c>
      <c r="AA40" s="75" t="e">
        <f ca="1">SUM($Z$27:Z40)</f>
        <v>#N/A</v>
      </c>
      <c r="AB40" t="e">
        <f t="shared" ca="1" si="7"/>
        <v>#N/A</v>
      </c>
      <c r="AC40" s="78" t="e">
        <f ca="1">SUM($AB$27:AB40)</f>
        <v>#N/A</v>
      </c>
      <c r="AD40" t="e">
        <f t="shared" ca="1" si="8"/>
        <v>#N/A</v>
      </c>
      <c r="AE40" t="e">
        <f t="shared" ca="1" si="18"/>
        <v>#N/A</v>
      </c>
      <c r="AF40" t="e">
        <f t="shared" ca="1" si="9"/>
        <v>#N/A</v>
      </c>
      <c r="AG40" t="e">
        <f t="shared" ca="1" si="25"/>
        <v>#N/A</v>
      </c>
      <c r="AH40" t="e">
        <f t="shared" ca="1" si="19"/>
        <v>#N/A</v>
      </c>
      <c r="AI40" t="e">
        <f t="shared" ca="1" si="26"/>
        <v>#N/A</v>
      </c>
      <c r="AJ40" t="e">
        <f ca="1">SUM($AI$27:AI40)</f>
        <v>#N/A</v>
      </c>
      <c r="AK40" t="e">
        <f t="shared" ca="1" si="27"/>
        <v>#N/A</v>
      </c>
      <c r="AL40" t="e">
        <f ca="1">SUM($AK$27:AK40)</f>
        <v>#N/A</v>
      </c>
      <c r="AM40" s="407" t="e">
        <f ca="1">ROUND((AE27*$AX$34)+(AE28*$AX$33)+(AE29*$AX$32)+(AE30*$AX$31)+(AE31*$AX$30)+(AE32*$AX$29)+(AE33*$AX$28)+(AE34*$AX$27),0)</f>
        <v>#N/A</v>
      </c>
      <c r="AN40" s="248" t="e">
        <f ca="1">SUM($T$27:T40)+SUM($AM$27:AM40)</f>
        <v>#N/A</v>
      </c>
      <c r="AO40" t="e">
        <f t="shared" ca="1" si="30"/>
        <v>#N/A</v>
      </c>
      <c r="AP40" t="e">
        <f ca="1">SUM($AO$27:AO40)</f>
        <v>#N/A</v>
      </c>
      <c r="AQ40" t="e">
        <f t="shared" ca="1" si="20"/>
        <v>#N/A</v>
      </c>
      <c r="AR40" t="e">
        <f t="shared" ca="1" si="10"/>
        <v>#N/A</v>
      </c>
      <c r="AS40" t="e">
        <f t="shared" ca="1" si="21"/>
        <v>#N/A</v>
      </c>
      <c r="AT40" t="e">
        <f t="shared" ca="1" si="22"/>
        <v>#N/A</v>
      </c>
      <c r="AU40" t="e">
        <f t="shared" ca="1" si="23"/>
        <v>#N/A</v>
      </c>
      <c r="AW40" s="198">
        <v>20</v>
      </c>
      <c r="AX40" s="397">
        <f t="shared" si="24"/>
        <v>0.10648266850745074</v>
      </c>
      <c r="AZ40" t="e">
        <f t="shared" ca="1" si="11"/>
        <v>#N/A</v>
      </c>
      <c r="BA40" s="105" t="e">
        <f t="shared" ca="1" si="12"/>
        <v>#N/A</v>
      </c>
    </row>
    <row r="41" spans="2:53" x14ac:dyDescent="0.25">
      <c r="B41" s="105">
        <f>'PEP Impact Model'!B33</f>
        <v>14</v>
      </c>
      <c r="C41">
        <f>'PEP Impact Model'!C33</f>
        <v>15</v>
      </c>
      <c r="D41" s="78" t="e">
        <f ca="1">IF('PEP Impact Model'!$O$80=0,'PEP Impact Model'!J33,'PEP Impact Model'!O33)</f>
        <v>#N/A</v>
      </c>
      <c r="E41" s="78" t="e">
        <f t="shared" ca="1" si="28"/>
        <v>#N/A</v>
      </c>
      <c r="F41" t="e">
        <f t="shared" ca="1" si="13"/>
        <v>#N/A</v>
      </c>
      <c r="G41" t="e">
        <f ca="1">SUM($F$27:F41)</f>
        <v>#N/A</v>
      </c>
      <c r="H41" t="e">
        <f t="shared" si="0"/>
        <v>#N/A</v>
      </c>
      <c r="I41" t="e">
        <f t="shared" ca="1" si="1"/>
        <v>#N/A</v>
      </c>
      <c r="J41" t="e">
        <f ca="1">SUM($I$27:I41)</f>
        <v>#N/A</v>
      </c>
      <c r="K41" t="e">
        <f t="shared" ca="1" si="2"/>
        <v>#N/A</v>
      </c>
      <c r="L41" t="e">
        <f t="shared" ca="1" si="3"/>
        <v>#N/A</v>
      </c>
      <c r="M41" s="888">
        <f t="shared" si="14"/>
        <v>0.5</v>
      </c>
      <c r="N41" s="248" t="e">
        <f t="shared" ca="1" si="15"/>
        <v>#N/A</v>
      </c>
      <c r="O41" s="248" t="e">
        <f t="shared" ca="1" si="16"/>
        <v>#N/A</v>
      </c>
      <c r="P41" s="248" t="e">
        <f t="shared" ca="1" si="29"/>
        <v>#N/A</v>
      </c>
      <c r="Q41" s="244" t="e">
        <f ca="1">SUM($P$27:P41)+SUM($V$27:V41)</f>
        <v>#N/A</v>
      </c>
      <c r="R41" s="407" t="e">
        <f ca="1">ROUND((O27*$AX$35)+(O28*$AX$34)+(O29*$AX$33)+(O30*$AX$32)+(O31*$AX$31)+(O32*$AX$30)+(O33*$AX$29)+(O34*$AX$28)+(O35*$AX$27),0)</f>
        <v>#N/A</v>
      </c>
      <c r="S41" s="248" t="e">
        <f ca="1">SUM($R$27:R41)</f>
        <v>#N/A</v>
      </c>
      <c r="T41" s="407" t="e">
        <f ca="1">ROUND((P27*$AX$35)+(P28*$AX$34)+(P29*$AX$33)+(P30*$AX$32)+(P31*$AX$31)+(P32*$AX$30)+(P33*$AX$29)+(P34*$AX$28)+(P35*$AX$27),0)</f>
        <v>#N/A</v>
      </c>
      <c r="U41" s="244" t="e">
        <f ca="1">SUM($T$27:T41)</f>
        <v>#N/A</v>
      </c>
      <c r="V41" t="e">
        <f t="shared" ca="1" si="17"/>
        <v>#N/A</v>
      </c>
      <c r="W41" s="75" t="e">
        <f ca="1">SUM($V$27:V41)</f>
        <v>#N/A</v>
      </c>
      <c r="X41" s="78" t="e">
        <f t="shared" ca="1" si="4"/>
        <v>#N/A</v>
      </c>
      <c r="Y41" t="e">
        <f t="shared" si="5"/>
        <v>#N/A</v>
      </c>
      <c r="Z41" t="e">
        <f t="shared" ca="1" si="6"/>
        <v>#N/A</v>
      </c>
      <c r="AA41" s="75" t="e">
        <f ca="1">SUM($Z$27:Z41)</f>
        <v>#N/A</v>
      </c>
      <c r="AB41" t="e">
        <f t="shared" ca="1" si="7"/>
        <v>#N/A</v>
      </c>
      <c r="AC41" s="78" t="e">
        <f ca="1">SUM($AB$27:AB41)</f>
        <v>#N/A</v>
      </c>
      <c r="AD41" t="e">
        <f t="shared" ca="1" si="8"/>
        <v>#N/A</v>
      </c>
      <c r="AE41" t="e">
        <f t="shared" ca="1" si="18"/>
        <v>#N/A</v>
      </c>
      <c r="AF41" t="e">
        <f t="shared" ca="1" si="9"/>
        <v>#N/A</v>
      </c>
      <c r="AG41" t="e">
        <f t="shared" ca="1" si="25"/>
        <v>#N/A</v>
      </c>
      <c r="AH41" t="e">
        <f t="shared" ca="1" si="19"/>
        <v>#N/A</v>
      </c>
      <c r="AI41" t="e">
        <f t="shared" ca="1" si="26"/>
        <v>#N/A</v>
      </c>
      <c r="AJ41" t="e">
        <f ca="1">SUM($AI$27:AI41)</f>
        <v>#N/A</v>
      </c>
      <c r="AK41" t="e">
        <f t="shared" ca="1" si="27"/>
        <v>#N/A</v>
      </c>
      <c r="AL41" t="e">
        <f ca="1">SUM($AK$27:AK41)</f>
        <v>#N/A</v>
      </c>
      <c r="AM41" s="407" t="e">
        <f ca="1">ROUND((AE27*$AX$35)+(AE28*$AX$34)+(AE29*$AX$33)+(AE30*$AX$32)+(AE31*$AX$31)+(AE32*$AX$30)+(AE33*$AX$29)+(AE34*$AX$28)+(AE35*$AX$27),0)</f>
        <v>#N/A</v>
      </c>
      <c r="AN41" s="248" t="e">
        <f ca="1">SUM($T$27:T41)+SUM($AM$27:AM41)</f>
        <v>#N/A</v>
      </c>
      <c r="AO41" t="e">
        <f t="shared" ca="1" si="30"/>
        <v>#N/A</v>
      </c>
      <c r="AP41" t="e">
        <f ca="1">SUM($AO$27:AO41)</f>
        <v>#N/A</v>
      </c>
      <c r="AQ41" t="e">
        <f t="shared" ca="1" si="20"/>
        <v>#N/A</v>
      </c>
      <c r="AR41" t="e">
        <f t="shared" ca="1" si="10"/>
        <v>#N/A</v>
      </c>
      <c r="AS41" t="e">
        <f t="shared" ca="1" si="21"/>
        <v>#N/A</v>
      </c>
      <c r="AT41" t="e">
        <f t="shared" ca="1" si="22"/>
        <v>#N/A</v>
      </c>
      <c r="AU41" t="e">
        <f t="shared" ca="1" si="23"/>
        <v>#N/A</v>
      </c>
      <c r="AW41" s="198">
        <v>21</v>
      </c>
      <c r="AX41" s="397">
        <f t="shared" si="24"/>
        <v>8.0656908173047798E-2</v>
      </c>
      <c r="AZ41" t="e">
        <f t="shared" ca="1" si="11"/>
        <v>#N/A</v>
      </c>
      <c r="BA41" s="105" t="e">
        <f t="shared" ca="1" si="12"/>
        <v>#N/A</v>
      </c>
    </row>
    <row r="42" spans="2:53" x14ac:dyDescent="0.25">
      <c r="B42" s="105">
        <f>'PEP Impact Model'!B34</f>
        <v>15</v>
      </c>
      <c r="C42">
        <f>'PEP Impact Model'!C34</f>
        <v>16</v>
      </c>
      <c r="D42" s="78" t="e">
        <f ca="1">IF('PEP Impact Model'!$O$80=0,'PEP Impact Model'!J34,'PEP Impact Model'!O34)</f>
        <v>#N/A</v>
      </c>
      <c r="E42" s="78" t="e">
        <f t="shared" ca="1" si="28"/>
        <v>#N/A</v>
      </c>
      <c r="F42" t="e">
        <f t="shared" ca="1" si="13"/>
        <v>#N/A</v>
      </c>
      <c r="G42" t="e">
        <f ca="1">SUM($F$27:F42)</f>
        <v>#N/A</v>
      </c>
      <c r="H42" t="e">
        <f t="shared" si="0"/>
        <v>#N/A</v>
      </c>
      <c r="I42" t="e">
        <f t="shared" ca="1" si="1"/>
        <v>#N/A</v>
      </c>
      <c r="J42" t="e">
        <f ca="1">SUM($I$27:I42)</f>
        <v>#N/A</v>
      </c>
      <c r="K42" t="e">
        <f t="shared" ca="1" si="2"/>
        <v>#N/A</v>
      </c>
      <c r="L42" t="e">
        <f t="shared" ca="1" si="3"/>
        <v>#N/A</v>
      </c>
      <c r="M42" s="888">
        <f t="shared" si="14"/>
        <v>0.5</v>
      </c>
      <c r="N42" s="248" t="e">
        <f t="shared" ca="1" si="15"/>
        <v>#N/A</v>
      </c>
      <c r="O42" s="248" t="e">
        <f t="shared" ca="1" si="16"/>
        <v>#N/A</v>
      </c>
      <c r="P42" s="248" t="e">
        <f t="shared" ca="1" si="29"/>
        <v>#N/A</v>
      </c>
      <c r="Q42" s="244" t="e">
        <f ca="1">SUM($P$27:P42)+SUM($V$27:V42)</f>
        <v>#N/A</v>
      </c>
      <c r="R42" s="407" t="e">
        <f ca="1">ROUND((O27*$AX$36)+(O28*$AX$35)+(O29*$AX$34)+(O30*$AX$33)+(O31*$AX$32)+(O32*$AX$31)+(O33*$AX$30)+(O34*$AX$29)+(O35*$AX$28)+(O36*$AX$27),0)</f>
        <v>#N/A</v>
      </c>
      <c r="S42" s="248" t="e">
        <f ca="1">SUM($R$27:R42)</f>
        <v>#N/A</v>
      </c>
      <c r="T42" s="407" t="e">
        <f ca="1">ROUND((P27*$AX$36)+(P28*$AX$35)+(P29*$AX$34)+(P30*$AX$33)+(P31*$AX$32)+(P32*$AX$31)+(P33*$AX$30)+(P34*$AX$29)+(P35*$AX$28)+(P36*$AX$27),0)</f>
        <v>#N/A</v>
      </c>
      <c r="U42" s="244" t="e">
        <f ca="1">SUM($T$27:T42)</f>
        <v>#N/A</v>
      </c>
      <c r="V42" t="e">
        <f t="shared" ca="1" si="17"/>
        <v>#N/A</v>
      </c>
      <c r="W42" s="75" t="e">
        <f ca="1">SUM($V$27:V42)</f>
        <v>#N/A</v>
      </c>
      <c r="X42" s="78" t="e">
        <f t="shared" ca="1" si="4"/>
        <v>#N/A</v>
      </c>
      <c r="Y42" t="e">
        <f t="shared" si="5"/>
        <v>#N/A</v>
      </c>
      <c r="Z42" t="e">
        <f t="shared" ca="1" si="6"/>
        <v>#N/A</v>
      </c>
      <c r="AA42" s="75" t="e">
        <f ca="1">SUM($Z$27:Z42)</f>
        <v>#N/A</v>
      </c>
      <c r="AB42" t="e">
        <f t="shared" ca="1" si="7"/>
        <v>#N/A</v>
      </c>
      <c r="AC42" s="78" t="e">
        <f ca="1">SUM($AB$27:AB42)</f>
        <v>#N/A</v>
      </c>
      <c r="AD42" t="e">
        <f t="shared" ca="1" si="8"/>
        <v>#N/A</v>
      </c>
      <c r="AE42" t="e">
        <f t="shared" ca="1" si="18"/>
        <v>#N/A</v>
      </c>
      <c r="AF42" t="e">
        <f t="shared" ca="1" si="9"/>
        <v>#N/A</v>
      </c>
      <c r="AG42" t="e">
        <f t="shared" ca="1" si="25"/>
        <v>#N/A</v>
      </c>
      <c r="AH42" t="e">
        <f t="shared" ca="1" si="19"/>
        <v>#N/A</v>
      </c>
      <c r="AI42" t="e">
        <f t="shared" ca="1" si="26"/>
        <v>#N/A</v>
      </c>
      <c r="AJ42" t="e">
        <f ca="1">SUM($AI$27:AI42)</f>
        <v>#N/A</v>
      </c>
      <c r="AK42" t="e">
        <f t="shared" ca="1" si="27"/>
        <v>#N/A</v>
      </c>
      <c r="AL42" t="e">
        <f ca="1">SUM($AK$27:AK42)</f>
        <v>#N/A</v>
      </c>
      <c r="AM42" s="407" t="e">
        <f ca="1">ROUND((AE27*$AX$36)+(AE28*$AX$35)+(AE29*$AX$34)+(AE30*$AX$33)+(AE31*$AX$32)+(AE32*$AX$31)+(AE33*$AX$30)+(AE34*$AX$29)+(AE35*$AX$28)+(AE36*$AX$27),0)</f>
        <v>#N/A</v>
      </c>
      <c r="AN42" s="248" t="e">
        <f ca="1">SUM($T$27:T42)+SUM($AM$27:AM42)</f>
        <v>#N/A</v>
      </c>
      <c r="AO42" t="e">
        <f t="shared" ca="1" si="30"/>
        <v>#N/A</v>
      </c>
      <c r="AP42" t="e">
        <f ca="1">SUM($AO$27:AO42)</f>
        <v>#N/A</v>
      </c>
      <c r="AQ42" t="e">
        <f t="shared" ca="1" si="20"/>
        <v>#N/A</v>
      </c>
      <c r="AR42" t="e">
        <f t="shared" ca="1" si="10"/>
        <v>#N/A</v>
      </c>
      <c r="AS42" t="e">
        <f t="shared" ca="1" si="21"/>
        <v>#N/A</v>
      </c>
      <c r="AT42" t="e">
        <f t="shared" ca="1" si="22"/>
        <v>#N/A</v>
      </c>
      <c r="AU42" t="e">
        <f t="shared" ca="1" si="23"/>
        <v>#N/A</v>
      </c>
      <c r="AW42" s="198">
        <v>22</v>
      </c>
      <c r="AX42" s="397">
        <f t="shared" si="24"/>
        <v>5.4670024891997876E-2</v>
      </c>
      <c r="AZ42" t="e">
        <f t="shared" ca="1" si="11"/>
        <v>#N/A</v>
      </c>
      <c r="BA42" s="105" t="e">
        <f t="shared" ca="1" si="12"/>
        <v>#N/A</v>
      </c>
    </row>
    <row r="43" spans="2:53" x14ac:dyDescent="0.25">
      <c r="B43" s="105">
        <f>'PEP Impact Model'!B35</f>
        <v>16</v>
      </c>
      <c r="C43">
        <f>'PEP Impact Model'!C35</f>
        <v>17</v>
      </c>
      <c r="D43" s="78" t="e">
        <f ca="1">IF('PEP Impact Model'!$O$80=0,'PEP Impact Model'!J35,'PEP Impact Model'!O35)</f>
        <v>#N/A</v>
      </c>
      <c r="E43" s="78" t="e">
        <f t="shared" ca="1" si="28"/>
        <v>#N/A</v>
      </c>
      <c r="F43" t="e">
        <f t="shared" ca="1" si="13"/>
        <v>#N/A</v>
      </c>
      <c r="G43" t="e">
        <f ca="1">SUM($F$27:F43)</f>
        <v>#N/A</v>
      </c>
      <c r="H43" t="e">
        <f t="shared" si="0"/>
        <v>#N/A</v>
      </c>
      <c r="I43" t="e">
        <f t="shared" ca="1" si="1"/>
        <v>#N/A</v>
      </c>
      <c r="J43" t="e">
        <f ca="1">SUM($I$27:I43)</f>
        <v>#N/A</v>
      </c>
      <c r="K43" t="e">
        <f t="shared" ca="1" si="2"/>
        <v>#N/A</v>
      </c>
      <c r="L43" t="e">
        <f t="shared" ca="1" si="3"/>
        <v>#N/A</v>
      </c>
      <c r="M43" s="888">
        <f t="shared" si="14"/>
        <v>0.5</v>
      </c>
      <c r="N43" s="248" t="e">
        <f t="shared" ca="1" si="15"/>
        <v>#N/A</v>
      </c>
      <c r="O43" s="248" t="e">
        <f t="shared" ca="1" si="16"/>
        <v>#N/A</v>
      </c>
      <c r="P43" s="248" t="e">
        <f t="shared" ca="1" si="29"/>
        <v>#N/A</v>
      </c>
      <c r="Q43" s="244" t="e">
        <f ca="1">SUM($P$27:P43)+SUM($V$27:V43)</f>
        <v>#N/A</v>
      </c>
      <c r="R43" s="407" t="e">
        <f ca="1">ROUND((O27*$AX$37)+(O28*$AX$36)+(O29*$AX$35)+(O30*$AX$34)+(O31*$AX$33)+(O32*$AX$32)+(O33*$AX$31)+(O34*$AX$30)+(O35*$AX$29)+(O36*$AX$28)+(O37*$AX$27),0)</f>
        <v>#N/A</v>
      </c>
      <c r="S43" s="248" t="e">
        <f ca="1">SUM($R$27:R43)</f>
        <v>#N/A</v>
      </c>
      <c r="T43" s="407" t="e">
        <f ca="1">ROUND((P27*$AX$37)+(P28*$AX$36)+(P29*$AX$35)+(P30*$AX$34)+(P31*$AX$33)+(P32*$AX$32)+(P33*$AX$31)+(P34*$AX$30)+(P35*$AX$29)+(P36*$AX$28)+(P37*$AX$27),0)</f>
        <v>#N/A</v>
      </c>
      <c r="U43" s="244" t="e">
        <f ca="1">SUM($T$27:T43)</f>
        <v>#N/A</v>
      </c>
      <c r="V43" t="e">
        <f t="shared" ca="1" si="17"/>
        <v>#N/A</v>
      </c>
      <c r="W43" s="75" t="e">
        <f ca="1">SUM($V$27:V43)</f>
        <v>#N/A</v>
      </c>
      <c r="X43" s="78" t="e">
        <f t="shared" ca="1" si="4"/>
        <v>#N/A</v>
      </c>
      <c r="Y43" t="e">
        <f t="shared" si="5"/>
        <v>#N/A</v>
      </c>
      <c r="Z43" t="e">
        <f t="shared" ca="1" si="6"/>
        <v>#N/A</v>
      </c>
      <c r="AA43" s="75" t="e">
        <f ca="1">SUM($Z$27:Z43)</f>
        <v>#N/A</v>
      </c>
      <c r="AB43" t="e">
        <f t="shared" ca="1" si="7"/>
        <v>#N/A</v>
      </c>
      <c r="AC43" s="78" t="e">
        <f ca="1">SUM($AB$27:AB43)</f>
        <v>#N/A</v>
      </c>
      <c r="AD43" t="e">
        <f t="shared" ca="1" si="8"/>
        <v>#N/A</v>
      </c>
      <c r="AE43" t="e">
        <f t="shared" ca="1" si="18"/>
        <v>#N/A</v>
      </c>
      <c r="AF43" t="e">
        <f t="shared" ca="1" si="9"/>
        <v>#N/A</v>
      </c>
      <c r="AG43" t="e">
        <f t="shared" ca="1" si="25"/>
        <v>#N/A</v>
      </c>
      <c r="AH43" t="e">
        <f t="shared" ca="1" si="19"/>
        <v>#N/A</v>
      </c>
      <c r="AI43" t="e">
        <f t="shared" ca="1" si="26"/>
        <v>#N/A</v>
      </c>
      <c r="AJ43" t="e">
        <f ca="1">SUM($AI$27:AI43)</f>
        <v>#N/A</v>
      </c>
      <c r="AK43" t="e">
        <f t="shared" ca="1" si="27"/>
        <v>#N/A</v>
      </c>
      <c r="AL43" t="e">
        <f ca="1">SUM($AK$27:AK43)</f>
        <v>#N/A</v>
      </c>
      <c r="AM43" s="407" t="e">
        <f ca="1">ROUND((AE27*$AX$37)+(AE28*$AX$36)+(AE29*$AX$35)+(AE30*$AX$34)+(AE31*$AX$33)+(AE32*$AX$32)+(AE33*$AX$31)+(AE34*$AX$30)+(AE35*$AX$29)+(AE36*$AX$28)+(AE37*$AX$27),0)</f>
        <v>#N/A</v>
      </c>
      <c r="AN43" s="248" t="e">
        <f ca="1">SUM($T$27:T43)+SUM($AM$27:AM43)</f>
        <v>#N/A</v>
      </c>
      <c r="AO43" t="e">
        <f t="shared" ca="1" si="30"/>
        <v>#N/A</v>
      </c>
      <c r="AP43" t="e">
        <f ca="1">SUM($AO$27:AO43)</f>
        <v>#N/A</v>
      </c>
      <c r="AQ43" t="e">
        <f t="shared" ca="1" si="20"/>
        <v>#N/A</v>
      </c>
      <c r="AR43" t="e">
        <f t="shared" ca="1" si="10"/>
        <v>#N/A</v>
      </c>
      <c r="AS43" t="e">
        <f t="shared" ca="1" si="21"/>
        <v>#N/A</v>
      </c>
      <c r="AT43" t="e">
        <f t="shared" ca="1" si="22"/>
        <v>#N/A</v>
      </c>
      <c r="AU43" t="e">
        <f t="shared" ca="1" si="23"/>
        <v>#N/A</v>
      </c>
      <c r="AW43" s="198">
        <v>23</v>
      </c>
      <c r="AX43" s="397">
        <f t="shared" si="24"/>
        <v>3.3159046264249557E-2</v>
      </c>
      <c r="AZ43" t="e">
        <f t="shared" ca="1" si="11"/>
        <v>#N/A</v>
      </c>
      <c r="BA43" s="105" t="e">
        <f t="shared" ca="1" si="12"/>
        <v>#N/A</v>
      </c>
    </row>
    <row r="44" spans="2:53" x14ac:dyDescent="0.25">
      <c r="B44" s="105">
        <f>'PEP Impact Model'!B36</f>
        <v>17</v>
      </c>
      <c r="C44">
        <f>'PEP Impact Model'!C36</f>
        <v>18</v>
      </c>
      <c r="D44" s="78" t="e">
        <f ca="1">IF('PEP Impact Model'!$O$80=0,'PEP Impact Model'!J36,'PEP Impact Model'!O36)</f>
        <v>#N/A</v>
      </c>
      <c r="E44" s="78" t="e">
        <f t="shared" ca="1" si="28"/>
        <v>#N/A</v>
      </c>
      <c r="F44" t="e">
        <f t="shared" ca="1" si="13"/>
        <v>#N/A</v>
      </c>
      <c r="G44" t="e">
        <f ca="1">SUM($F$27:F44)</f>
        <v>#N/A</v>
      </c>
      <c r="H44" t="e">
        <f t="shared" si="0"/>
        <v>#N/A</v>
      </c>
      <c r="I44" t="e">
        <f t="shared" ca="1" si="1"/>
        <v>#N/A</v>
      </c>
      <c r="J44" t="e">
        <f ca="1">SUM($I$27:I44)</f>
        <v>#N/A</v>
      </c>
      <c r="K44" t="e">
        <f t="shared" ca="1" si="2"/>
        <v>#N/A</v>
      </c>
      <c r="L44" t="e">
        <f t="shared" ca="1" si="3"/>
        <v>#N/A</v>
      </c>
      <c r="M44" s="888">
        <f t="shared" si="14"/>
        <v>0.5</v>
      </c>
      <c r="N44" s="248" t="e">
        <f t="shared" ca="1" si="15"/>
        <v>#N/A</v>
      </c>
      <c r="O44" s="248" t="e">
        <f t="shared" ca="1" si="16"/>
        <v>#N/A</v>
      </c>
      <c r="P44" s="248" t="e">
        <f t="shared" ca="1" si="29"/>
        <v>#N/A</v>
      </c>
      <c r="Q44" s="244" t="e">
        <f ca="1">SUM($P$27:P44)+SUM($V$27:V44)</f>
        <v>#N/A</v>
      </c>
      <c r="R44" s="407" t="e">
        <f ca="1">ROUND((O27*$AX$38)+(O28*$AX$37)+(O29*$AX$36)+(O30*$AX$35)+(O31*$AX$34)+(O32*$AX$33)+(O33*$AX$32)+(O34*$AX$31)+(O35*$AX$30)+(O36*$AX$29)+(O37*$AX$28)+(O38*$AX$27),0)</f>
        <v>#N/A</v>
      </c>
      <c r="S44" s="248" t="e">
        <f ca="1">SUM($R$27:R44)</f>
        <v>#N/A</v>
      </c>
      <c r="T44" s="407" t="e">
        <f ca="1">ROUND((P27*$AX$38)+(P28*$AX$37)+(P29*$AX$36)+(P30*$AX$35)+(P31*$AX$34)+(P32*$AX$33)+(P33*$AX$32)+(P34*$AX$31)+(P35*$AX$30)+(P36*$AX$29)+(P37*$AX$28)+(P38*$AX$27),0)</f>
        <v>#N/A</v>
      </c>
      <c r="U44" s="244" t="e">
        <f ca="1">SUM($T$27:T44)</f>
        <v>#N/A</v>
      </c>
      <c r="V44" t="e">
        <f t="shared" ca="1" si="17"/>
        <v>#N/A</v>
      </c>
      <c r="W44" s="75" t="e">
        <f ca="1">SUM($V$27:V44)</f>
        <v>#N/A</v>
      </c>
      <c r="X44" s="78" t="e">
        <f t="shared" ca="1" si="4"/>
        <v>#N/A</v>
      </c>
      <c r="Y44" t="e">
        <f t="shared" si="5"/>
        <v>#N/A</v>
      </c>
      <c r="Z44" t="e">
        <f t="shared" ca="1" si="6"/>
        <v>#N/A</v>
      </c>
      <c r="AA44" s="75" t="e">
        <f ca="1">SUM($Z$27:Z44)</f>
        <v>#N/A</v>
      </c>
      <c r="AB44" t="e">
        <f t="shared" ca="1" si="7"/>
        <v>#N/A</v>
      </c>
      <c r="AC44" s="78" t="e">
        <f ca="1">SUM($AB$27:AB44)</f>
        <v>#N/A</v>
      </c>
      <c r="AD44" t="e">
        <f t="shared" ca="1" si="8"/>
        <v>#N/A</v>
      </c>
      <c r="AE44" t="e">
        <f t="shared" ca="1" si="18"/>
        <v>#N/A</v>
      </c>
      <c r="AF44" t="e">
        <f t="shared" ca="1" si="9"/>
        <v>#N/A</v>
      </c>
      <c r="AG44" t="e">
        <f t="shared" ca="1" si="25"/>
        <v>#N/A</v>
      </c>
      <c r="AH44" t="e">
        <f t="shared" ca="1" si="19"/>
        <v>#N/A</v>
      </c>
      <c r="AI44" t="e">
        <f t="shared" ca="1" si="26"/>
        <v>#N/A</v>
      </c>
      <c r="AJ44" t="e">
        <f ca="1">SUM($AI$27:AI44)</f>
        <v>#N/A</v>
      </c>
      <c r="AK44" t="e">
        <f t="shared" ca="1" si="27"/>
        <v>#N/A</v>
      </c>
      <c r="AL44" t="e">
        <f ca="1">SUM($AK$27:AK44)</f>
        <v>#N/A</v>
      </c>
      <c r="AM44" s="407" t="e">
        <f ca="1">ROUND((AE27*$AX$38)+(AE28*$AX$37)+(AE29*$AX$36)+(AE30*$AX$35)+(AE31*$AX$34)+(AE32*$AX$33)+(AE33*$AX$32)+(AE34*$AX$31)+(AE35*$AX$30)+(AE36*$AX$29)+(AE37*$AX$28)+(AE38*$AX$27),0)</f>
        <v>#N/A</v>
      </c>
      <c r="AN44" s="248" t="e">
        <f ca="1">SUM($T$27:T44)+SUM($AM$27:AM44)</f>
        <v>#N/A</v>
      </c>
      <c r="AO44" t="e">
        <f t="shared" ca="1" si="30"/>
        <v>#N/A</v>
      </c>
      <c r="AP44" t="e">
        <f ca="1">SUM($AO$27:AO44)</f>
        <v>#N/A</v>
      </c>
      <c r="AQ44" t="e">
        <f t="shared" ca="1" si="20"/>
        <v>#N/A</v>
      </c>
      <c r="AR44" t="e">
        <f t="shared" ca="1" si="10"/>
        <v>#N/A</v>
      </c>
      <c r="AS44" t="e">
        <f t="shared" ca="1" si="21"/>
        <v>#N/A</v>
      </c>
      <c r="AT44" t="e">
        <f t="shared" ca="1" si="22"/>
        <v>#N/A</v>
      </c>
      <c r="AU44" t="e">
        <f t="shared" ca="1" si="23"/>
        <v>#N/A</v>
      </c>
      <c r="AW44" s="198">
        <v>24</v>
      </c>
      <c r="AX44" s="397">
        <f t="shared" si="24"/>
        <v>1.7996988837729353E-2</v>
      </c>
      <c r="AZ44" t="e">
        <f t="shared" ca="1" si="11"/>
        <v>#N/A</v>
      </c>
      <c r="BA44" s="105" t="e">
        <f t="shared" ca="1" si="12"/>
        <v>#N/A</v>
      </c>
    </row>
    <row r="45" spans="2:53" x14ac:dyDescent="0.25">
      <c r="B45" s="105">
        <f>'PEP Impact Model'!B37</f>
        <v>18</v>
      </c>
      <c r="C45">
        <f>'PEP Impact Model'!C37</f>
        <v>19</v>
      </c>
      <c r="D45" s="78" t="e">
        <f ca="1">IF('PEP Impact Model'!$O$80=0,'PEP Impact Model'!J37,'PEP Impact Model'!O37)</f>
        <v>#N/A</v>
      </c>
      <c r="E45" s="78" t="e">
        <f t="shared" ca="1" si="28"/>
        <v>#N/A</v>
      </c>
      <c r="F45" t="e">
        <f t="shared" ca="1" si="13"/>
        <v>#N/A</v>
      </c>
      <c r="G45" t="e">
        <f ca="1">SUM($F$27:F45)</f>
        <v>#N/A</v>
      </c>
      <c r="H45" t="e">
        <f t="shared" si="0"/>
        <v>#N/A</v>
      </c>
      <c r="I45" t="e">
        <f t="shared" ca="1" si="1"/>
        <v>#N/A</v>
      </c>
      <c r="J45" t="e">
        <f ca="1">SUM($I$27:I45)</f>
        <v>#N/A</v>
      </c>
      <c r="K45" t="e">
        <f t="shared" ca="1" si="2"/>
        <v>#N/A</v>
      </c>
      <c r="L45" t="e">
        <f t="shared" ca="1" si="3"/>
        <v>#N/A</v>
      </c>
      <c r="M45" s="888">
        <f t="shared" si="14"/>
        <v>0.5</v>
      </c>
      <c r="N45" s="248" t="e">
        <f t="shared" ca="1" si="15"/>
        <v>#N/A</v>
      </c>
      <c r="O45" s="248" t="e">
        <f t="shared" ca="1" si="16"/>
        <v>#N/A</v>
      </c>
      <c r="P45" s="248" t="e">
        <f t="shared" ca="1" si="29"/>
        <v>#N/A</v>
      </c>
      <c r="Q45" s="244" t="e">
        <f ca="1">SUM($P$27:P45)+SUM($V$27:V45)</f>
        <v>#N/A</v>
      </c>
      <c r="R45" s="407" t="e">
        <f ca="1">ROUND((O27*$AX$39)+(O28*$AX$38)+(O29*$AX$37)+(O30*$AX$36)+(O31*$AX$35)+(O32*$AX$34)+(O33*$AX$33)+(O34*$AX$32)+(O35*$AX$31)+(O36*$AX$30)+(O37*$AX$29)+(O38*$AX$28)+(O39*$AX$27),0)</f>
        <v>#N/A</v>
      </c>
      <c r="S45" s="248" t="e">
        <f ca="1">SUM($R$27:R45)</f>
        <v>#N/A</v>
      </c>
      <c r="T45" s="407" t="e">
        <f ca="1">ROUND((P27*$AX$39)+(P28*$AX$38)+(P29*$AX$37)+(P30*$AX$36)+(P31*$AX$35)+(P32*$AX$34)+(P33*$AX$33)+(P34*$AX$32)+(P35*$AX$31)+(P36*$AX$30)+(P37*$AX$29)+(P38*$AX$28)+(P39*$AX$27),0)</f>
        <v>#N/A</v>
      </c>
      <c r="U45" s="244" t="e">
        <f ca="1">SUM($T$27:T45)</f>
        <v>#N/A</v>
      </c>
      <c r="V45" t="e">
        <f t="shared" ca="1" si="17"/>
        <v>#N/A</v>
      </c>
      <c r="W45" s="75" t="e">
        <f ca="1">SUM($V$27:V45)</f>
        <v>#N/A</v>
      </c>
      <c r="X45" s="78" t="e">
        <f t="shared" ca="1" si="4"/>
        <v>#N/A</v>
      </c>
      <c r="Y45" t="e">
        <f t="shared" si="5"/>
        <v>#N/A</v>
      </c>
      <c r="Z45" t="e">
        <f t="shared" ca="1" si="6"/>
        <v>#N/A</v>
      </c>
      <c r="AA45" s="75" t="e">
        <f ca="1">SUM($Z$27:Z45)</f>
        <v>#N/A</v>
      </c>
      <c r="AB45" t="e">
        <f t="shared" ca="1" si="7"/>
        <v>#N/A</v>
      </c>
      <c r="AC45" s="78" t="e">
        <f ca="1">SUM($AB$27:AB45)</f>
        <v>#N/A</v>
      </c>
      <c r="AD45" t="e">
        <f t="shared" ca="1" si="8"/>
        <v>#N/A</v>
      </c>
      <c r="AE45" t="e">
        <f t="shared" ca="1" si="18"/>
        <v>#N/A</v>
      </c>
      <c r="AF45" t="e">
        <f t="shared" ca="1" si="9"/>
        <v>#N/A</v>
      </c>
      <c r="AG45" t="e">
        <f t="shared" ca="1" si="25"/>
        <v>#N/A</v>
      </c>
      <c r="AH45" t="e">
        <f t="shared" ca="1" si="19"/>
        <v>#N/A</v>
      </c>
      <c r="AI45" t="e">
        <f t="shared" ca="1" si="26"/>
        <v>#N/A</v>
      </c>
      <c r="AJ45" t="e">
        <f ca="1">SUM($AI$27:AI45)</f>
        <v>#N/A</v>
      </c>
      <c r="AK45" t="e">
        <f t="shared" ca="1" si="27"/>
        <v>#N/A</v>
      </c>
      <c r="AL45" t="e">
        <f ca="1">SUM($AK$27:AK45)</f>
        <v>#N/A</v>
      </c>
      <c r="AM45" s="407" t="e">
        <f ca="1">ROUND((AE27*$AX$39)+(AE28*$AX$38)+(AE29*$AX$37)+(AE30*$AX$36)+(AE31*$AX$35)+(AE32*$AX$34)+(AE33*$AX$33)+(AE34*$AX$32)+(AE35*$AX$31)+(AE36*$AX$30)+(AE37*$AX$29)+(AE38*$AX$28)+(AE39*$AX$27),0)</f>
        <v>#N/A</v>
      </c>
      <c r="AN45" s="248" t="e">
        <f ca="1">SUM($T$27:T45)+SUM($AM$27:AM45)</f>
        <v>#N/A</v>
      </c>
      <c r="AO45" t="e">
        <f t="shared" ca="1" si="30"/>
        <v>#N/A</v>
      </c>
      <c r="AP45" t="e">
        <f ca="1">SUM($AO$27:AO45)</f>
        <v>#N/A</v>
      </c>
      <c r="AQ45" t="e">
        <f t="shared" ca="1" si="20"/>
        <v>#N/A</v>
      </c>
      <c r="AR45" t="e">
        <f t="shared" ca="1" si="10"/>
        <v>#N/A</v>
      </c>
      <c r="AS45" t="e">
        <f t="shared" ca="1" si="21"/>
        <v>#N/A</v>
      </c>
      <c r="AT45" t="e">
        <f t="shared" ca="1" si="22"/>
        <v>#N/A</v>
      </c>
      <c r="AU45" t="e">
        <f t="shared" ca="1" si="23"/>
        <v>#N/A</v>
      </c>
      <c r="AW45" s="198">
        <v>25</v>
      </c>
      <c r="AX45" s="397">
        <f t="shared" si="24"/>
        <v>8.7406296979031604E-3</v>
      </c>
      <c r="AZ45" t="e">
        <f t="shared" ca="1" si="11"/>
        <v>#N/A</v>
      </c>
      <c r="BA45" s="105" t="e">
        <f t="shared" ca="1" si="12"/>
        <v>#N/A</v>
      </c>
    </row>
    <row r="46" spans="2:53" ht="13.8" thickBot="1" x14ac:dyDescent="0.3">
      <c r="B46" s="105">
        <f>'PEP Impact Model'!B38</f>
        <v>19</v>
      </c>
      <c r="C46">
        <f>'PEP Impact Model'!C38</f>
        <v>20</v>
      </c>
      <c r="D46" s="78" t="e">
        <f ca="1">IF('PEP Impact Model'!$O$80=0,'PEP Impact Model'!J38,'PEP Impact Model'!O38)</f>
        <v>#N/A</v>
      </c>
      <c r="E46" s="78" t="e">
        <f t="shared" ca="1" si="28"/>
        <v>#N/A</v>
      </c>
      <c r="F46" t="e">
        <f t="shared" ca="1" si="13"/>
        <v>#N/A</v>
      </c>
      <c r="G46" t="e">
        <f ca="1">SUM($F$27:F46)</f>
        <v>#N/A</v>
      </c>
      <c r="H46" t="e">
        <f t="shared" si="0"/>
        <v>#N/A</v>
      </c>
      <c r="I46" t="e">
        <f t="shared" ca="1" si="1"/>
        <v>#N/A</v>
      </c>
      <c r="J46" t="e">
        <f ca="1">SUM($I$27:I46)</f>
        <v>#N/A</v>
      </c>
      <c r="K46" t="e">
        <f t="shared" ca="1" si="2"/>
        <v>#N/A</v>
      </c>
      <c r="L46" t="e">
        <f t="shared" ca="1" si="3"/>
        <v>#N/A</v>
      </c>
      <c r="M46" s="888">
        <f t="shared" si="14"/>
        <v>0.5</v>
      </c>
      <c r="N46" s="248" t="e">
        <f t="shared" ca="1" si="15"/>
        <v>#N/A</v>
      </c>
      <c r="O46" s="248" t="e">
        <f t="shared" ca="1" si="16"/>
        <v>#N/A</v>
      </c>
      <c r="P46" s="248" t="e">
        <f t="shared" ca="1" si="29"/>
        <v>#N/A</v>
      </c>
      <c r="Q46" s="244" t="e">
        <f ca="1">SUM($P$27:P46)+SUM($V$27:V46)</f>
        <v>#N/A</v>
      </c>
      <c r="R46" s="407" t="e">
        <f ca="1">ROUND((O27*$AX$40)+(O28*$AX$39)+(O29*$AX$38)+(O30*$AX$37)+(O31*$AX$36)+(O32*$AX$35)+(O33*$AX$34)+(O34*$AX$33)+(O35*$AX$32)+(O36*$AX$31)+(O37*$AX$30)+(O38*$AX$29)+(O39*$AX$28)+(O40*$AX$27),0)</f>
        <v>#N/A</v>
      </c>
      <c r="S46" s="248" t="e">
        <f ca="1">SUM($R$27:R46)</f>
        <v>#N/A</v>
      </c>
      <c r="T46" s="407" t="e">
        <f ca="1">ROUND((P27*$AX$40)+(P28*$AX$39)+(P29*$AX$38)+(P30*$AX$37)+(P31*$AX$36)+(P32*$AX$35)+(P33*$AX$34)+(P34*$AX$33)+(P35*$AX$32)+(P36*$AX$31)+(P37*$AX$30)+(P38*$AX$29)+(P39*$AX$28)+(P40*$AX$27),0)</f>
        <v>#N/A</v>
      </c>
      <c r="U46" s="244" t="e">
        <f ca="1">SUM($T$27:T46)</f>
        <v>#N/A</v>
      </c>
      <c r="V46" t="e">
        <f t="shared" ca="1" si="17"/>
        <v>#N/A</v>
      </c>
      <c r="W46" s="75" t="e">
        <f ca="1">SUM($V$27:V46)</f>
        <v>#N/A</v>
      </c>
      <c r="X46" s="78" t="e">
        <f t="shared" ca="1" si="4"/>
        <v>#N/A</v>
      </c>
      <c r="Y46" t="e">
        <f t="shared" si="5"/>
        <v>#N/A</v>
      </c>
      <c r="Z46" t="e">
        <f t="shared" ca="1" si="6"/>
        <v>#N/A</v>
      </c>
      <c r="AA46" s="75" t="e">
        <f ca="1">SUM($Z$27:Z46)</f>
        <v>#N/A</v>
      </c>
      <c r="AB46" t="e">
        <f t="shared" ca="1" si="7"/>
        <v>#N/A</v>
      </c>
      <c r="AC46" s="78" t="e">
        <f ca="1">SUM($AB$27:AB46)</f>
        <v>#N/A</v>
      </c>
      <c r="AD46" t="e">
        <f t="shared" ca="1" si="8"/>
        <v>#N/A</v>
      </c>
      <c r="AE46" t="e">
        <f t="shared" ca="1" si="18"/>
        <v>#N/A</v>
      </c>
      <c r="AF46" t="e">
        <f t="shared" ca="1" si="9"/>
        <v>#N/A</v>
      </c>
      <c r="AG46" t="e">
        <f t="shared" ca="1" si="25"/>
        <v>#N/A</v>
      </c>
      <c r="AH46" t="e">
        <f t="shared" ca="1" si="19"/>
        <v>#N/A</v>
      </c>
      <c r="AI46" t="e">
        <f t="shared" ca="1" si="26"/>
        <v>#N/A</v>
      </c>
      <c r="AJ46" t="e">
        <f ca="1">SUM($AI$27:AI46)</f>
        <v>#N/A</v>
      </c>
      <c r="AK46" t="e">
        <f t="shared" ca="1" si="27"/>
        <v>#N/A</v>
      </c>
      <c r="AL46" t="e">
        <f ca="1">SUM($AK$27:AK46)</f>
        <v>#N/A</v>
      </c>
      <c r="AM46" s="407" t="e">
        <f ca="1">ROUND((AE27*$AX$40)+(AE28*$AX$39)+(AE29*$AX$38)+(AE30*$AX$37)+(AE31*$AX$36)+(AE32*$AX$35)+(AE33*$AX$34)+(AE34*$AX$33)+(AE35*$AX$32)+(AE36*$AX$31)+(AE37*$AX$30)+(AE38*$AX$29)+(AE39*$AX$28)+(AE40*$AX$27),0)</f>
        <v>#N/A</v>
      </c>
      <c r="AN46" s="248" t="e">
        <f ca="1">SUM($T$27:T46)+SUM($AM$27:AM46)</f>
        <v>#N/A</v>
      </c>
      <c r="AO46" t="e">
        <f t="shared" ca="1" si="30"/>
        <v>#N/A</v>
      </c>
      <c r="AP46" t="e">
        <f ca="1">SUM($AO$27:AO46)</f>
        <v>#N/A</v>
      </c>
      <c r="AQ46" t="e">
        <f t="shared" ca="1" si="20"/>
        <v>#N/A</v>
      </c>
      <c r="AR46" t="e">
        <f t="shared" ca="1" si="10"/>
        <v>#N/A</v>
      </c>
      <c r="AS46" t="e">
        <f t="shared" ca="1" si="21"/>
        <v>#N/A</v>
      </c>
      <c r="AT46" t="e">
        <f t="shared" ca="1" si="22"/>
        <v>#N/A</v>
      </c>
      <c r="AU46" t="e">
        <f t="shared" ca="1" si="23"/>
        <v>#N/A</v>
      </c>
      <c r="AW46" s="228">
        <v>26</v>
      </c>
      <c r="AX46" s="403">
        <f t="shared" si="24"/>
        <v>3.798662007932481E-3</v>
      </c>
      <c r="AZ46" t="e">
        <f t="shared" ca="1" si="11"/>
        <v>#N/A</v>
      </c>
      <c r="BA46" s="105" t="e">
        <f t="shared" ca="1" si="12"/>
        <v>#N/A</v>
      </c>
    </row>
    <row r="47" spans="2:53" x14ac:dyDescent="0.25">
      <c r="B47" s="105">
        <f>'PEP Impact Model'!B39</f>
        <v>20</v>
      </c>
      <c r="C47">
        <f>'PEP Impact Model'!C39</f>
        <v>21</v>
      </c>
      <c r="D47" s="78" t="e">
        <f ca="1">IF('PEP Impact Model'!$O$80=0,'PEP Impact Model'!J39,'PEP Impact Model'!O39)</f>
        <v>#N/A</v>
      </c>
      <c r="E47" s="78" t="e">
        <f t="shared" ca="1" si="28"/>
        <v>#N/A</v>
      </c>
      <c r="F47" t="e">
        <f t="shared" ca="1" si="13"/>
        <v>#N/A</v>
      </c>
      <c r="G47" t="e">
        <f ca="1">SUM($F$27:F47)</f>
        <v>#N/A</v>
      </c>
      <c r="H47" t="e">
        <f t="shared" si="0"/>
        <v>#N/A</v>
      </c>
      <c r="I47" t="e">
        <f t="shared" ca="1" si="1"/>
        <v>#N/A</v>
      </c>
      <c r="J47" t="e">
        <f ca="1">SUM($I$27:I47)</f>
        <v>#N/A</v>
      </c>
      <c r="K47" t="e">
        <f t="shared" ca="1" si="2"/>
        <v>#N/A</v>
      </c>
      <c r="L47" t="e">
        <f t="shared" ca="1" si="3"/>
        <v>#N/A</v>
      </c>
      <c r="M47" s="888">
        <f t="shared" si="14"/>
        <v>0.5</v>
      </c>
      <c r="N47" s="248" t="e">
        <f t="shared" ca="1" si="15"/>
        <v>#N/A</v>
      </c>
      <c r="O47" s="248" t="e">
        <f t="shared" ca="1" si="16"/>
        <v>#N/A</v>
      </c>
      <c r="P47" s="248" t="e">
        <f t="shared" ca="1" si="29"/>
        <v>#N/A</v>
      </c>
      <c r="Q47" s="244" t="e">
        <f ca="1">SUM($P$27:P47)+SUM($V$27:V47)</f>
        <v>#N/A</v>
      </c>
      <c r="R47" s="407" t="e">
        <f ca="1">ROUND((O27*$AX$41)+(O28*$AX$40)+(O29*$AX$39)+(O30*$AX$38)+(O31*$AX$37)+(O32*$AX$36)+(O33*$AX$35)+(O34*$AX$34)+(O35*$AX$33)+(O36*$AX$32)+(O37*$AX$31)+(O38*$AX$30)+(O39*$AX$29)+(O40*$AX$28)+(O41*$AX$27),0)</f>
        <v>#N/A</v>
      </c>
      <c r="S47" s="248" t="e">
        <f ca="1">SUM($R$27:R47)</f>
        <v>#N/A</v>
      </c>
      <c r="T47" s="407" t="e">
        <f ca="1">ROUND((P27*$AX$41)+(P28*$AX$40)+(P29*$AX$39)+(P30*$AX$38)+(P31*$AX$37)+(P32*$AX$36)+(P33*$AX$35)+(P34*$AX$34)+(P35*$AX$33)+(P36*$AX$32)+(P37*$AX$31)+(P38*$AX$30)+(P39*$AX$29)+(P40*$AX$28)+(P41*$AX$27),0)</f>
        <v>#N/A</v>
      </c>
      <c r="U47" s="244" t="e">
        <f ca="1">SUM($T$27:T47)</f>
        <v>#N/A</v>
      </c>
      <c r="V47" t="e">
        <f t="shared" ca="1" si="17"/>
        <v>#N/A</v>
      </c>
      <c r="W47" s="75" t="e">
        <f ca="1">SUM($V$27:V47)</f>
        <v>#N/A</v>
      </c>
      <c r="X47" s="78" t="e">
        <f t="shared" ca="1" si="4"/>
        <v>#N/A</v>
      </c>
      <c r="Y47" t="e">
        <f t="shared" si="5"/>
        <v>#N/A</v>
      </c>
      <c r="Z47" t="e">
        <f t="shared" ca="1" si="6"/>
        <v>#N/A</v>
      </c>
      <c r="AA47" s="75" t="e">
        <f ca="1">SUM($Z$27:Z47)</f>
        <v>#N/A</v>
      </c>
      <c r="AB47" t="e">
        <f t="shared" ca="1" si="7"/>
        <v>#N/A</v>
      </c>
      <c r="AC47" s="78" t="e">
        <f ca="1">SUM($AB$27:AB47)</f>
        <v>#N/A</v>
      </c>
      <c r="AD47" t="e">
        <f t="shared" ca="1" si="8"/>
        <v>#N/A</v>
      </c>
      <c r="AE47" t="e">
        <f t="shared" ca="1" si="18"/>
        <v>#N/A</v>
      </c>
      <c r="AF47" t="e">
        <f t="shared" ca="1" si="9"/>
        <v>#N/A</v>
      </c>
      <c r="AG47" t="e">
        <f t="shared" ca="1" si="25"/>
        <v>#N/A</v>
      </c>
      <c r="AH47" t="e">
        <f t="shared" ca="1" si="19"/>
        <v>#N/A</v>
      </c>
      <c r="AI47" t="e">
        <f t="shared" ca="1" si="26"/>
        <v>#N/A</v>
      </c>
      <c r="AJ47" t="e">
        <f ca="1">SUM($AI$27:AI47)</f>
        <v>#N/A</v>
      </c>
      <c r="AK47" t="e">
        <f t="shared" ca="1" si="27"/>
        <v>#N/A</v>
      </c>
      <c r="AL47" t="e">
        <f ca="1">SUM($AK$27:AK47)</f>
        <v>#N/A</v>
      </c>
      <c r="AM47" s="407" t="e">
        <f ca="1">ROUND((AE27*$AX$41)+(AE28*$AX$40)+(AE29*$AX$39)+(AE30*$AX$38)+(AE31*$AX$37)+(AE32*$AX$36)+(AE33*$AX$35)+(AE34*$AX$34)+(AE35*$AX$33)+(AE36*$AX$32)+(AE37*$AX$31)+(AE38*$AX$30)+(AE39*$AX$29)+(AE40*$AX$28)+(AE41*$AX$27),0)</f>
        <v>#N/A</v>
      </c>
      <c r="AN47" s="248" t="e">
        <f ca="1">SUM($T$27:T47)+SUM($AM$27:AM47)</f>
        <v>#N/A</v>
      </c>
      <c r="AO47" t="e">
        <f t="shared" ca="1" si="30"/>
        <v>#N/A</v>
      </c>
      <c r="AP47" t="e">
        <f ca="1">SUM($AO$27:AO47)</f>
        <v>#N/A</v>
      </c>
      <c r="AQ47" t="e">
        <f t="shared" ca="1" si="20"/>
        <v>#N/A</v>
      </c>
      <c r="AR47" t="e">
        <f t="shared" ca="1" si="10"/>
        <v>#N/A</v>
      </c>
      <c r="AS47" t="e">
        <f t="shared" ca="1" si="21"/>
        <v>#N/A</v>
      </c>
      <c r="AT47" t="e">
        <f t="shared" ca="1" si="22"/>
        <v>#N/A</v>
      </c>
      <c r="AU47" t="e">
        <f t="shared" ca="1" si="23"/>
        <v>#N/A</v>
      </c>
      <c r="AX47" s="398">
        <f>SUM(AX27:AX46)</f>
        <v>0.99773090137637821</v>
      </c>
      <c r="AZ47" t="e">
        <f t="shared" ca="1" si="11"/>
        <v>#N/A</v>
      </c>
      <c r="BA47" s="105" t="e">
        <f t="shared" ca="1" si="12"/>
        <v>#N/A</v>
      </c>
    </row>
    <row r="48" spans="2:53" x14ac:dyDescent="0.25">
      <c r="B48" s="105">
        <f>'PEP Impact Model'!B40</f>
        <v>21</v>
      </c>
      <c r="C48">
        <f>'PEP Impact Model'!C40</f>
        <v>22</v>
      </c>
      <c r="D48" s="78" t="e">
        <f ca="1">IF('PEP Impact Model'!$O$80=0,'PEP Impact Model'!J40,'PEP Impact Model'!O40)</f>
        <v>#N/A</v>
      </c>
      <c r="E48" s="78" t="e">
        <f t="shared" ca="1" si="28"/>
        <v>#N/A</v>
      </c>
      <c r="F48" t="e">
        <f t="shared" ca="1" si="13"/>
        <v>#N/A</v>
      </c>
      <c r="G48" t="e">
        <f ca="1">SUM($F$27:F48)</f>
        <v>#N/A</v>
      </c>
      <c r="H48" t="e">
        <f t="shared" si="0"/>
        <v>#N/A</v>
      </c>
      <c r="I48" t="e">
        <f t="shared" ca="1" si="1"/>
        <v>#N/A</v>
      </c>
      <c r="J48" t="e">
        <f ca="1">SUM($I$27:I48)</f>
        <v>#N/A</v>
      </c>
      <c r="K48" t="e">
        <f t="shared" ca="1" si="2"/>
        <v>#N/A</v>
      </c>
      <c r="L48" t="e">
        <f t="shared" ca="1" si="3"/>
        <v>#N/A</v>
      </c>
      <c r="M48" s="888">
        <f t="shared" si="14"/>
        <v>0.5</v>
      </c>
      <c r="N48" s="248" t="e">
        <f t="shared" ca="1" si="15"/>
        <v>#N/A</v>
      </c>
      <c r="O48" s="248" t="e">
        <f t="shared" ca="1" si="16"/>
        <v>#N/A</v>
      </c>
      <c r="P48" s="248" t="e">
        <f t="shared" ca="1" si="29"/>
        <v>#N/A</v>
      </c>
      <c r="Q48" s="244" t="e">
        <f ca="1">SUM($P$27:P48)+SUM($V$27:V48)</f>
        <v>#N/A</v>
      </c>
      <c r="R48" s="407" t="e">
        <f ca="1">ROUND((O27*$AX$42)+(O28*$AX$41)+(O29*$AX$40)+(O30*$AX$39)+(O31*$AX$38)+(O32*$AX$37)+(O33*$AX$36)+(O34*$AX$35)+(O35*$AX$34)+(O36*$AX$33)+(O37*$AX$32)+(O38*$AX$31)+(O39*$AX$30)+(O40*$AX$29)+(O41*$AX$28)+(O42*$AX$27),0)</f>
        <v>#N/A</v>
      </c>
      <c r="S48" s="248" t="e">
        <f ca="1">SUM($R$27:R48)</f>
        <v>#N/A</v>
      </c>
      <c r="T48" s="407" t="e">
        <f ca="1">ROUND((P27*$AX$42)+(P28*$AX$41)+(P29*$AX$40)+(P30*$AX$39)+(P31*$AX$38)+(P32*$AX$37)+(P33*$AX$36)+(P34*$AX$35)+(P35*$AX$34)+(P36*$AX$33)+(P37*$AX$32)+(P38*$AX$31)+(P39*$AX$30)+(P40*$AX$29)+(P41*$AX$28)+(P42*$AX$27),0)</f>
        <v>#N/A</v>
      </c>
      <c r="U48" s="244" t="e">
        <f ca="1">SUM($T$27:T48)</f>
        <v>#N/A</v>
      </c>
      <c r="V48" t="e">
        <f t="shared" ca="1" si="17"/>
        <v>#N/A</v>
      </c>
      <c r="W48" s="75" t="e">
        <f ca="1">SUM($V$27:V48)</f>
        <v>#N/A</v>
      </c>
      <c r="X48" s="78" t="e">
        <f t="shared" ca="1" si="4"/>
        <v>#N/A</v>
      </c>
      <c r="Y48" t="e">
        <f t="shared" si="5"/>
        <v>#N/A</v>
      </c>
      <c r="Z48" t="e">
        <f t="shared" ca="1" si="6"/>
        <v>#N/A</v>
      </c>
      <c r="AA48" s="75" t="e">
        <f ca="1">SUM($Z$27:Z48)</f>
        <v>#N/A</v>
      </c>
      <c r="AB48" t="e">
        <f t="shared" ca="1" si="7"/>
        <v>#N/A</v>
      </c>
      <c r="AC48" s="78" t="e">
        <f ca="1">SUM($AB$27:AB48)</f>
        <v>#N/A</v>
      </c>
      <c r="AD48" t="e">
        <f t="shared" ca="1" si="8"/>
        <v>#N/A</v>
      </c>
      <c r="AE48" t="e">
        <f t="shared" ca="1" si="18"/>
        <v>#N/A</v>
      </c>
      <c r="AF48" t="e">
        <f t="shared" ca="1" si="9"/>
        <v>#N/A</v>
      </c>
      <c r="AG48" t="e">
        <f t="shared" ca="1" si="25"/>
        <v>#N/A</v>
      </c>
      <c r="AH48" t="e">
        <f t="shared" ca="1" si="19"/>
        <v>#N/A</v>
      </c>
      <c r="AI48" t="e">
        <f t="shared" ca="1" si="26"/>
        <v>#N/A</v>
      </c>
      <c r="AJ48" t="e">
        <f ca="1">SUM($AI$27:AI48)</f>
        <v>#N/A</v>
      </c>
      <c r="AK48" t="e">
        <f t="shared" ca="1" si="27"/>
        <v>#N/A</v>
      </c>
      <c r="AL48" t="e">
        <f ca="1">SUM($AK$27:AK48)</f>
        <v>#N/A</v>
      </c>
      <c r="AM48" s="407" t="e">
        <f ca="1">ROUND((AE27*$AX$42)+(AE28*$AX$41)+(AE29*$AX$40)+(AE30*$AX$39)+(AE31*$AX$38)+(AE32*$AX$37)+(AE33*$AX$36)+(AE34*$AX$35)+(AE35*$AX$34)+(AE36*$AX$33)+(AE37*$AX$32)+(AE38*$AX$31)+(AE39*$AX$30)+(AE40*$AX$29)+(AE41*$AX$28)+(AE42*$AX$27),0)</f>
        <v>#N/A</v>
      </c>
      <c r="AN48" s="248" t="e">
        <f ca="1">SUM($T$27:T48)+SUM($AM$27:AM48)</f>
        <v>#N/A</v>
      </c>
      <c r="AO48" t="e">
        <f t="shared" ca="1" si="30"/>
        <v>#N/A</v>
      </c>
      <c r="AP48" t="e">
        <f ca="1">SUM($AO$27:AO48)</f>
        <v>#N/A</v>
      </c>
      <c r="AQ48" t="e">
        <f t="shared" ca="1" si="20"/>
        <v>#N/A</v>
      </c>
      <c r="AR48" t="e">
        <f t="shared" ca="1" si="10"/>
        <v>#N/A</v>
      </c>
      <c r="AS48" t="e">
        <f t="shared" ca="1" si="21"/>
        <v>#N/A</v>
      </c>
      <c r="AT48" t="e">
        <f t="shared" ca="1" si="22"/>
        <v>#N/A</v>
      </c>
      <c r="AU48" t="e">
        <f t="shared" ca="1" si="23"/>
        <v>#N/A</v>
      </c>
      <c r="AZ48" t="e">
        <f t="shared" ca="1" si="11"/>
        <v>#N/A</v>
      </c>
      <c r="BA48" s="105" t="e">
        <f t="shared" ca="1" si="12"/>
        <v>#N/A</v>
      </c>
    </row>
    <row r="49" spans="2:53" x14ac:dyDescent="0.25">
      <c r="B49" s="105">
        <f>'PEP Impact Model'!B41</f>
        <v>22</v>
      </c>
      <c r="C49">
        <f>'PEP Impact Model'!C41</f>
        <v>23</v>
      </c>
      <c r="D49" s="78" t="e">
        <f ca="1">IF('PEP Impact Model'!$O$80=0,'PEP Impact Model'!J41,'PEP Impact Model'!O41)</f>
        <v>#N/A</v>
      </c>
      <c r="E49" s="78" t="e">
        <f t="shared" ca="1" si="28"/>
        <v>#N/A</v>
      </c>
      <c r="F49" t="e">
        <f t="shared" ca="1" si="13"/>
        <v>#N/A</v>
      </c>
      <c r="G49" t="e">
        <f ca="1">SUM($F$27:F49)</f>
        <v>#N/A</v>
      </c>
      <c r="H49" t="e">
        <f t="shared" si="0"/>
        <v>#N/A</v>
      </c>
      <c r="I49" t="e">
        <f t="shared" ca="1" si="1"/>
        <v>#N/A</v>
      </c>
      <c r="J49" t="e">
        <f ca="1">SUM($I$27:I49)</f>
        <v>#N/A</v>
      </c>
      <c r="K49" t="e">
        <f t="shared" ca="1" si="2"/>
        <v>#N/A</v>
      </c>
      <c r="L49" t="e">
        <f t="shared" ca="1" si="3"/>
        <v>#N/A</v>
      </c>
      <c r="M49" s="888">
        <f t="shared" si="14"/>
        <v>0.5</v>
      </c>
      <c r="N49" s="248" t="e">
        <f t="shared" ca="1" si="15"/>
        <v>#N/A</v>
      </c>
      <c r="O49" s="248" t="e">
        <f t="shared" ca="1" si="16"/>
        <v>#N/A</v>
      </c>
      <c r="P49" s="248" t="e">
        <f t="shared" ca="1" si="29"/>
        <v>#N/A</v>
      </c>
      <c r="Q49" s="244" t="e">
        <f ca="1">SUM($P$27:P49)+SUM($V$27:V49)</f>
        <v>#N/A</v>
      </c>
      <c r="R49" s="407" t="e">
        <f ca="1">ROUND((O27*$AX$43)+(O28*$AX$42)+(O29*$AX$41)+(O30*$AX$40)+(O31*$AX$39)+(O32*$AX$38)+(O33*$AX$37)+(O34*$AX$36)+(O35*$AX$35)+(O36*$AX$34)+(O37*$AX$33)+(O38*$AX$32)+(O39*$AX$31)+(O40*$AX$30)+(O41*$AX$29)+(O42*$AX$28)+(O43*$AX$27),0)</f>
        <v>#N/A</v>
      </c>
      <c r="S49" s="248" t="e">
        <f ca="1">SUM($R$27:R49)</f>
        <v>#N/A</v>
      </c>
      <c r="T49" s="407" t="e">
        <f ca="1">ROUND((P27*$AX$43)+(P28*$AX$42)+(P29*$AX$41)+(P30*$AX$40)+(P31*$AX$39)+(P32*$AX$38)+(P33*$AX$37)+(P34*$AX$36)+(P35*$AX$35)+(P36*$AX$34)+(P37*$AX$33)+(P38*$AX$32)+(P39*$AX$31)+(P40*$AX$30)+(P41*$AX$29)+(P42*$AX$28)+(P43*$AX$27),0)</f>
        <v>#N/A</v>
      </c>
      <c r="U49" s="244" t="e">
        <f ca="1">SUM($T$27:T49)</f>
        <v>#N/A</v>
      </c>
      <c r="V49" t="e">
        <f t="shared" ca="1" si="17"/>
        <v>#N/A</v>
      </c>
      <c r="W49" s="75" t="e">
        <f ca="1">SUM($V$27:V49)</f>
        <v>#N/A</v>
      </c>
      <c r="X49" s="78" t="e">
        <f t="shared" ca="1" si="4"/>
        <v>#N/A</v>
      </c>
      <c r="Y49" t="e">
        <f t="shared" si="5"/>
        <v>#N/A</v>
      </c>
      <c r="Z49" t="e">
        <f t="shared" ca="1" si="6"/>
        <v>#N/A</v>
      </c>
      <c r="AA49" s="75" t="e">
        <f ca="1">SUM($Z$27:Z49)</f>
        <v>#N/A</v>
      </c>
      <c r="AB49" t="e">
        <f t="shared" ca="1" si="7"/>
        <v>#N/A</v>
      </c>
      <c r="AC49" s="78" t="e">
        <f ca="1">SUM($AB$27:AB49)</f>
        <v>#N/A</v>
      </c>
      <c r="AD49" t="e">
        <f t="shared" ca="1" si="8"/>
        <v>#N/A</v>
      </c>
      <c r="AE49" t="e">
        <f t="shared" ca="1" si="18"/>
        <v>#N/A</v>
      </c>
      <c r="AF49" t="e">
        <f t="shared" ca="1" si="9"/>
        <v>#N/A</v>
      </c>
      <c r="AG49" t="e">
        <f t="shared" ca="1" si="25"/>
        <v>#N/A</v>
      </c>
      <c r="AH49" t="e">
        <f t="shared" ca="1" si="19"/>
        <v>#N/A</v>
      </c>
      <c r="AI49" t="e">
        <f t="shared" ca="1" si="26"/>
        <v>#N/A</v>
      </c>
      <c r="AJ49" t="e">
        <f ca="1">SUM($AI$27:AI49)</f>
        <v>#N/A</v>
      </c>
      <c r="AK49" t="e">
        <f t="shared" ca="1" si="27"/>
        <v>#N/A</v>
      </c>
      <c r="AL49" t="e">
        <f ca="1">SUM($AK$27:AK49)</f>
        <v>#N/A</v>
      </c>
      <c r="AM49" s="407" t="e">
        <f ca="1">ROUND((AE27*$AX$43)+(AE28*$AX$42)+(AE29*$AX$41)+(AE30*$AX$40)+(AE31*$AX$39)+(AE32*$AX$38)+(AE33*$AX$37)+(AE34*$AX$36)+(AE35*$AX$35)+(AE36*$AX$34)+(AE37*$AX$33)+(AE38*$AX$32)+(AE39*$AX$31)+(AE40*$AX$30)+(AE41*$AX$29)+(AE42*$AX$28)+(AE43*$AX$27),0)</f>
        <v>#N/A</v>
      </c>
      <c r="AN49" s="248" t="e">
        <f ca="1">SUM($T$27:T49)+SUM($AM$27:AM49)</f>
        <v>#N/A</v>
      </c>
      <c r="AO49" t="e">
        <f t="shared" ca="1" si="30"/>
        <v>#N/A</v>
      </c>
      <c r="AP49" t="e">
        <f ca="1">SUM($AO$27:AO49)</f>
        <v>#N/A</v>
      </c>
      <c r="AQ49" t="e">
        <f t="shared" ca="1" si="20"/>
        <v>#N/A</v>
      </c>
      <c r="AR49" t="e">
        <f t="shared" ca="1" si="10"/>
        <v>#N/A</v>
      </c>
      <c r="AS49" t="e">
        <f t="shared" ca="1" si="21"/>
        <v>#N/A</v>
      </c>
      <c r="AT49" t="e">
        <f t="shared" ca="1" si="22"/>
        <v>#N/A</v>
      </c>
      <c r="AU49" t="e">
        <f t="shared" ca="1" si="23"/>
        <v>#N/A</v>
      </c>
      <c r="AZ49" t="e">
        <f t="shared" ca="1" si="11"/>
        <v>#N/A</v>
      </c>
      <c r="BA49" s="105" t="e">
        <f t="shared" ca="1" si="12"/>
        <v>#N/A</v>
      </c>
    </row>
    <row r="50" spans="2:53" x14ac:dyDescent="0.25">
      <c r="B50" s="105">
        <f>'PEP Impact Model'!B42</f>
        <v>23</v>
      </c>
      <c r="C50">
        <f>'PEP Impact Model'!C42</f>
        <v>24</v>
      </c>
      <c r="D50" s="78" t="e">
        <f ca="1">IF('PEP Impact Model'!$O$80=0,'PEP Impact Model'!J42,'PEP Impact Model'!O42)</f>
        <v>#N/A</v>
      </c>
      <c r="E50" s="78" t="e">
        <f t="shared" ca="1" si="28"/>
        <v>#N/A</v>
      </c>
      <c r="F50" t="e">
        <f t="shared" ca="1" si="13"/>
        <v>#N/A</v>
      </c>
      <c r="G50" t="e">
        <f ca="1">SUM($F$27:F50)</f>
        <v>#N/A</v>
      </c>
      <c r="H50" t="e">
        <f t="shared" si="0"/>
        <v>#N/A</v>
      </c>
      <c r="I50" t="e">
        <f t="shared" ca="1" si="1"/>
        <v>#N/A</v>
      </c>
      <c r="J50" t="e">
        <f ca="1">SUM($I$27:I50)</f>
        <v>#N/A</v>
      </c>
      <c r="K50" t="e">
        <f t="shared" ca="1" si="2"/>
        <v>#N/A</v>
      </c>
      <c r="L50" t="e">
        <f t="shared" ca="1" si="3"/>
        <v>#N/A</v>
      </c>
      <c r="M50" s="888">
        <f t="shared" si="14"/>
        <v>0.5</v>
      </c>
      <c r="N50" s="248" t="e">
        <f t="shared" ca="1" si="15"/>
        <v>#N/A</v>
      </c>
      <c r="O50" s="248" t="e">
        <f t="shared" ca="1" si="16"/>
        <v>#N/A</v>
      </c>
      <c r="P50" s="248" t="e">
        <f t="shared" ca="1" si="29"/>
        <v>#N/A</v>
      </c>
      <c r="Q50" s="244" t="e">
        <f ca="1">SUM($P$27:P50)+SUM($V$27:V50)</f>
        <v>#N/A</v>
      </c>
      <c r="R50" s="407" t="e">
        <f ca="1">ROUND((O27*$AX$44)+(O28*$AX$43)+(O29*$AX$42)+(O30*$AX$41)+(O31*$AX$40)+(O32*$AX$39)+(O33*$AX$38)+(O34*$AX$37)+(O35*$AX$36)+(O36*$AX$35)+(O37*$AX$34)+(O38*$AX$33)+(O39*$AX$32)+(O40*$AX$31)+(O41*$AX$30)+(O42*$AX$29)+(O43*$AX$28)+(O44*$AX$27),0)</f>
        <v>#N/A</v>
      </c>
      <c r="S50" s="248" t="e">
        <f ca="1">SUM($R$27:R50)</f>
        <v>#N/A</v>
      </c>
      <c r="T50" s="407" t="e">
        <f ca="1">ROUND((P27*$AX$44)+(P28*$AX$43)+(P29*$AX$42)+(P30*$AX$41)+(P31*$AX$40)+(P32*$AX$39)+(P33*$AX$38)+(P34*$AX$37)+(P35*$AX$36)+(P36*$AX$35)+(P37*$AX$34)+(P38*$AX$33)+(P39*$AX$32)+(P40*$AX$31)+(P41*$AX$30)+(P42*$AX$29)+(P43*$AX$28)+(P44*$AX$27),0)</f>
        <v>#N/A</v>
      </c>
      <c r="U50" s="244" t="e">
        <f ca="1">SUM($T$27:T50)</f>
        <v>#N/A</v>
      </c>
      <c r="V50" t="e">
        <f t="shared" ca="1" si="17"/>
        <v>#N/A</v>
      </c>
      <c r="W50" s="75" t="e">
        <f ca="1">SUM($V$27:V50)</f>
        <v>#N/A</v>
      </c>
      <c r="X50" s="78" t="e">
        <f t="shared" ca="1" si="4"/>
        <v>#N/A</v>
      </c>
      <c r="Y50" t="e">
        <f t="shared" si="5"/>
        <v>#N/A</v>
      </c>
      <c r="Z50" t="e">
        <f t="shared" ca="1" si="6"/>
        <v>#N/A</v>
      </c>
      <c r="AA50" s="75" t="e">
        <f ca="1">SUM($Z$27:Z50)</f>
        <v>#N/A</v>
      </c>
      <c r="AB50" t="e">
        <f t="shared" ca="1" si="7"/>
        <v>#N/A</v>
      </c>
      <c r="AC50" s="78" t="e">
        <f ca="1">SUM($AB$27:AB50)</f>
        <v>#N/A</v>
      </c>
      <c r="AD50" t="e">
        <f t="shared" ca="1" si="8"/>
        <v>#N/A</v>
      </c>
      <c r="AE50" t="e">
        <f t="shared" ca="1" si="18"/>
        <v>#N/A</v>
      </c>
      <c r="AF50" t="e">
        <f t="shared" ca="1" si="9"/>
        <v>#N/A</v>
      </c>
      <c r="AG50" t="e">
        <f t="shared" ca="1" si="25"/>
        <v>#N/A</v>
      </c>
      <c r="AH50" t="e">
        <f t="shared" ca="1" si="19"/>
        <v>#N/A</v>
      </c>
      <c r="AI50" t="e">
        <f t="shared" ca="1" si="26"/>
        <v>#N/A</v>
      </c>
      <c r="AJ50" t="e">
        <f ca="1">SUM($AI$27:AI50)</f>
        <v>#N/A</v>
      </c>
      <c r="AK50" t="e">
        <f t="shared" ca="1" si="27"/>
        <v>#N/A</v>
      </c>
      <c r="AL50" t="e">
        <f ca="1">SUM($AK$27:AK50)</f>
        <v>#N/A</v>
      </c>
      <c r="AM50" s="407" t="e">
        <f ca="1">ROUND((AE27*$AX$44)+(AE28*$AX$43)+(AE29*$AX$42)+(AE30*$AX$41)+(AE31*$AX$40)+(AE32*$AX$39)+(AE33*$AX$38)+(AE34*$AX$37)+(AE35*$AX$36)+(AE36*$AX$35)+(AE37*$AX$34)+(AE38*$AX$33)+(AE39*$AX$32)+(AE40*$AX$31)+(AE41*$AX$30)+(AE42*$AX$29)+(AE43*$AX$28)+(AE44*$AX$27),0)</f>
        <v>#N/A</v>
      </c>
      <c r="AN50" s="248" t="e">
        <f ca="1">SUM($T$27:T50)+SUM($AM$27:AM50)</f>
        <v>#N/A</v>
      </c>
      <c r="AO50" t="e">
        <f t="shared" ca="1" si="30"/>
        <v>#N/A</v>
      </c>
      <c r="AP50" t="e">
        <f ca="1">SUM($AO$27:AO50)</f>
        <v>#N/A</v>
      </c>
      <c r="AQ50" t="e">
        <f t="shared" ca="1" si="20"/>
        <v>#N/A</v>
      </c>
      <c r="AR50" t="e">
        <f t="shared" ca="1" si="10"/>
        <v>#N/A</v>
      </c>
      <c r="AS50" t="e">
        <f t="shared" ca="1" si="21"/>
        <v>#N/A</v>
      </c>
      <c r="AT50" t="e">
        <f t="shared" ca="1" si="22"/>
        <v>#N/A</v>
      </c>
      <c r="AU50" t="e">
        <f t="shared" ca="1" si="23"/>
        <v>#N/A</v>
      </c>
      <c r="AZ50" t="e">
        <f t="shared" ca="1" si="11"/>
        <v>#N/A</v>
      </c>
      <c r="BA50" s="105" t="e">
        <f t="shared" ca="1" si="12"/>
        <v>#N/A</v>
      </c>
    </row>
    <row r="51" spans="2:53" x14ac:dyDescent="0.25">
      <c r="B51" s="105">
        <f>'PEP Impact Model'!B43</f>
        <v>24</v>
      </c>
      <c r="C51">
        <f>'PEP Impact Model'!C43</f>
        <v>25</v>
      </c>
      <c r="D51" s="78" t="e">
        <f ca="1">IF('PEP Impact Model'!$O$80=0,'PEP Impact Model'!J43,'PEP Impact Model'!O43)</f>
        <v>#N/A</v>
      </c>
      <c r="E51" s="78" t="e">
        <f t="shared" ca="1" si="28"/>
        <v>#N/A</v>
      </c>
      <c r="F51" t="e">
        <f t="shared" ca="1" si="13"/>
        <v>#N/A</v>
      </c>
      <c r="G51" t="e">
        <f ca="1">SUM($F$27:F51)</f>
        <v>#N/A</v>
      </c>
      <c r="H51" t="e">
        <f t="shared" si="0"/>
        <v>#N/A</v>
      </c>
      <c r="I51" t="e">
        <f t="shared" ca="1" si="1"/>
        <v>#N/A</v>
      </c>
      <c r="J51" t="e">
        <f ca="1">SUM($I$27:I51)</f>
        <v>#N/A</v>
      </c>
      <c r="K51" t="e">
        <f t="shared" ca="1" si="2"/>
        <v>#N/A</v>
      </c>
      <c r="L51" t="e">
        <f t="shared" ca="1" si="3"/>
        <v>#N/A</v>
      </c>
      <c r="M51" s="888">
        <f t="shared" si="14"/>
        <v>0.5</v>
      </c>
      <c r="N51" s="248" t="e">
        <f t="shared" ca="1" si="15"/>
        <v>#N/A</v>
      </c>
      <c r="O51" s="248" t="e">
        <f t="shared" ca="1" si="16"/>
        <v>#N/A</v>
      </c>
      <c r="P51" s="248" t="e">
        <f t="shared" ca="1" si="29"/>
        <v>#N/A</v>
      </c>
      <c r="Q51" s="244" t="e">
        <f ca="1">SUM($P$27:P51)+SUM($V$27:V51)</f>
        <v>#N/A</v>
      </c>
      <c r="R51" s="407" t="e">
        <f ca="1">ROUND((O27*$AX$45)+(O28*$AX$44)+(O29*$AX$43)+(O30*$AX$42)+(O31*$AX$41)+(O32*$AX$40)+(O33*$AX$39)+(O34*$AX$38)+(O35*$AX$37)+(O36*$AX$36)+(O37*$AX$35)+(O38*$AX$34)+(O39*$AX$33)+(O40*$AX$32)+(O41*$AX$31)+(O42*$AX$30)+(O43*$AX$29)+(O44*$AX$28)+(O45*$AX$27),0)</f>
        <v>#N/A</v>
      </c>
      <c r="S51" s="248" t="e">
        <f ca="1">SUM($R$27:R51)</f>
        <v>#N/A</v>
      </c>
      <c r="T51" s="407" t="e">
        <f ca="1">ROUND((P27*$AX$45)+(P28*$AX$44)+(P29*$AX$43)+(P30*$AX$42)+(P31*$AX$41)+(P32*$AX$40)+(P33*$AX$39)+(P34*$AX$38)+(P35*$AX$37)+(P36*$AX$36)+(P37*$AX$35)+(P38*$AX$34)+(P39*$AX$33)+(P40*$AX$32)+(P41*$AX$31)+(P42*$AX$30)+(P43*$AX$29)+(P44*$AX$28)+(P45*$AX$27),0)</f>
        <v>#N/A</v>
      </c>
      <c r="U51" s="244" t="e">
        <f ca="1">SUM($T$27:T51)</f>
        <v>#N/A</v>
      </c>
      <c r="V51" t="e">
        <f t="shared" ca="1" si="17"/>
        <v>#N/A</v>
      </c>
      <c r="W51" s="75" t="e">
        <f ca="1">SUM($V$27:V51)</f>
        <v>#N/A</v>
      </c>
      <c r="X51" s="78" t="e">
        <f t="shared" ca="1" si="4"/>
        <v>#N/A</v>
      </c>
      <c r="Y51" t="e">
        <f t="shared" si="5"/>
        <v>#N/A</v>
      </c>
      <c r="Z51" t="e">
        <f t="shared" ca="1" si="6"/>
        <v>#N/A</v>
      </c>
      <c r="AA51" s="75" t="e">
        <f ca="1">SUM($Z$27:Z51)</f>
        <v>#N/A</v>
      </c>
      <c r="AB51" t="e">
        <f t="shared" ca="1" si="7"/>
        <v>#N/A</v>
      </c>
      <c r="AC51" s="78" t="e">
        <f ca="1">SUM($AB$27:AB51)</f>
        <v>#N/A</v>
      </c>
      <c r="AD51" t="e">
        <f t="shared" ca="1" si="8"/>
        <v>#N/A</v>
      </c>
      <c r="AE51" t="e">
        <f t="shared" ca="1" si="18"/>
        <v>#N/A</v>
      </c>
      <c r="AF51" t="e">
        <f t="shared" ca="1" si="9"/>
        <v>#N/A</v>
      </c>
      <c r="AG51" t="e">
        <f t="shared" ca="1" si="25"/>
        <v>#N/A</v>
      </c>
      <c r="AH51" t="e">
        <f t="shared" ca="1" si="19"/>
        <v>#N/A</v>
      </c>
      <c r="AI51" t="e">
        <f t="shared" ca="1" si="26"/>
        <v>#N/A</v>
      </c>
      <c r="AJ51" t="e">
        <f ca="1">SUM($AI$27:AI51)</f>
        <v>#N/A</v>
      </c>
      <c r="AK51" t="e">
        <f t="shared" ca="1" si="27"/>
        <v>#N/A</v>
      </c>
      <c r="AL51" t="e">
        <f ca="1">SUM($AK$27:AK51)</f>
        <v>#N/A</v>
      </c>
      <c r="AM51" s="407" t="e">
        <f ca="1">ROUND((AE27*$AX$45)+(AE28*$AX$44)+(AE29*$AX$43)+(AE30*$AX$42)+(AE31*$AX$41)+(AE32*$AX$40)+(AE33*$AX$39)+(AE34*$AX$38)+(AE35*$AX$37)+(AE36*$AX$36)+(AE37*$AX$35)+(AE38*$AX$34)+(AE39*$AX$33)+(AE40*$AX$32)+(AE41*$AX$31)+(AE42*$AX$30)+(AE43*$AX$29)+(AE44*$AX$28)+(AE45*$AX$27),0)</f>
        <v>#N/A</v>
      </c>
      <c r="AN51" s="248" t="e">
        <f ca="1">SUM($T$27:T51)+SUM($AM$27:AM51)</f>
        <v>#N/A</v>
      </c>
      <c r="AO51" t="e">
        <f t="shared" ca="1" si="30"/>
        <v>#N/A</v>
      </c>
      <c r="AP51" t="e">
        <f ca="1">SUM($AO$27:AO51)</f>
        <v>#N/A</v>
      </c>
      <c r="AQ51" t="e">
        <f t="shared" ca="1" si="20"/>
        <v>#N/A</v>
      </c>
      <c r="AR51" t="e">
        <f t="shared" ca="1" si="10"/>
        <v>#N/A</v>
      </c>
      <c r="AS51" t="e">
        <f t="shared" ca="1" si="21"/>
        <v>#N/A</v>
      </c>
      <c r="AT51" t="e">
        <f t="shared" ca="1" si="22"/>
        <v>#N/A</v>
      </c>
      <c r="AU51" t="e">
        <f t="shared" ca="1" si="23"/>
        <v>#N/A</v>
      </c>
      <c r="AZ51" t="e">
        <f t="shared" ca="1" si="11"/>
        <v>#N/A</v>
      </c>
      <c r="BA51" s="105" t="e">
        <f t="shared" ca="1" si="12"/>
        <v>#N/A</v>
      </c>
    </row>
    <row r="52" spans="2:53" x14ac:dyDescent="0.25">
      <c r="B52" s="105">
        <f>'PEP Impact Model'!B44</f>
        <v>25</v>
      </c>
      <c r="C52">
        <f>'PEP Impact Model'!C44</f>
        <v>26</v>
      </c>
      <c r="D52" s="78" t="e">
        <f ca="1">IF('PEP Impact Model'!$O$80=0,'PEP Impact Model'!J44,'PEP Impact Model'!O44)</f>
        <v>#N/A</v>
      </c>
      <c r="E52" s="78" t="e">
        <f t="shared" ca="1" si="28"/>
        <v>#N/A</v>
      </c>
      <c r="F52" t="e">
        <f t="shared" ca="1" si="13"/>
        <v>#N/A</v>
      </c>
      <c r="G52" t="e">
        <f ca="1">SUM($F$27:F52)</f>
        <v>#N/A</v>
      </c>
      <c r="H52" t="e">
        <f t="shared" si="0"/>
        <v>#N/A</v>
      </c>
      <c r="I52" t="e">
        <f t="shared" ca="1" si="1"/>
        <v>#N/A</v>
      </c>
      <c r="J52" t="e">
        <f ca="1">SUM($I$27:I52)</f>
        <v>#N/A</v>
      </c>
      <c r="K52" t="e">
        <f t="shared" ca="1" si="2"/>
        <v>#N/A</v>
      </c>
      <c r="L52" t="e">
        <f t="shared" ca="1" si="3"/>
        <v>#N/A</v>
      </c>
      <c r="M52" s="888">
        <f t="shared" si="14"/>
        <v>0.5</v>
      </c>
      <c r="N52" s="248" t="e">
        <f t="shared" ca="1" si="15"/>
        <v>#N/A</v>
      </c>
      <c r="O52" s="248" t="e">
        <f t="shared" ca="1" si="16"/>
        <v>#N/A</v>
      </c>
      <c r="P52" s="248" t="e">
        <f t="shared" ca="1" si="29"/>
        <v>#N/A</v>
      </c>
      <c r="Q52" s="244" t="e">
        <f ca="1">SUM($P$27:P52)+SUM($V$27:V52)</f>
        <v>#N/A</v>
      </c>
      <c r="R52" s="407" t="e">
        <f t="shared" ref="R52:R83" ca="1" si="31">ROUND((O27*$AX$46)+(O28*$AX$45)+(O29*$AX$44)+(O30*$AX$43)+(O31*$AX$42)+(O32*$AX$41)+(O33*$AX$40)+(O34*$AX$39)+(O35*$AX$38)+(O36*$AX$37)+(O37*$AX$36)+(O38*$AX$35)+(O39*$AX$34)+(O40*$AX$33)+(O41*$AX$32)+(O42*$AX$31)+(O43*$AX$30)+(O44*$AX$29)+(O45*$AX$28)+(O46*$AX$27),0)</f>
        <v>#N/A</v>
      </c>
      <c r="S52" s="248" t="e">
        <f ca="1">SUM($R$27:R52)</f>
        <v>#N/A</v>
      </c>
      <c r="T52" s="407" t="e">
        <f t="shared" ref="T52:T83" ca="1" si="32">ROUND((P27*$AX$46)+(P28*$AX$45)+(P29*$AX$44)+(P30*$AX$43)+(P31*$AX$42)+(P32*$AX$41)+(P33*$AX$40)+(P34*$AX$39)+(P35*$AX$38)+(P36*$AX$37)+(P37*$AX$36)+(P38*$AX$35)+(P39*$AX$34)+(P40*$AX$33)+(P41*$AX$32)+(P42*$AX$31)+(P43*$AX$30)+(P44*$AX$29)+(P45*$AX$28)+(P46*$AX$27),0)</f>
        <v>#N/A</v>
      </c>
      <c r="U52" s="244" t="e">
        <f ca="1">SUM($T$27:T52)</f>
        <v>#N/A</v>
      </c>
      <c r="V52" t="e">
        <f t="shared" ca="1" si="17"/>
        <v>#N/A</v>
      </c>
      <c r="W52" s="75" t="e">
        <f ca="1">SUM($V$27:V52)</f>
        <v>#N/A</v>
      </c>
      <c r="X52" s="78" t="e">
        <f t="shared" ca="1" si="4"/>
        <v>#N/A</v>
      </c>
      <c r="Y52" t="e">
        <f t="shared" si="5"/>
        <v>#N/A</v>
      </c>
      <c r="Z52" t="e">
        <f t="shared" ca="1" si="6"/>
        <v>#N/A</v>
      </c>
      <c r="AA52" s="75" t="e">
        <f ca="1">SUM($Z$27:Z52)</f>
        <v>#N/A</v>
      </c>
      <c r="AB52" t="e">
        <f t="shared" ca="1" si="7"/>
        <v>#N/A</v>
      </c>
      <c r="AC52" s="78" t="e">
        <f ca="1">SUM($AB$27:AB52)</f>
        <v>#N/A</v>
      </c>
      <c r="AD52" t="e">
        <f t="shared" ca="1" si="8"/>
        <v>#N/A</v>
      </c>
      <c r="AE52" t="e">
        <f t="shared" ca="1" si="18"/>
        <v>#N/A</v>
      </c>
      <c r="AF52" t="e">
        <f t="shared" ca="1" si="9"/>
        <v>#N/A</v>
      </c>
      <c r="AG52" t="e">
        <f t="shared" ca="1" si="25"/>
        <v>#N/A</v>
      </c>
      <c r="AH52" t="e">
        <f t="shared" ca="1" si="19"/>
        <v>#N/A</v>
      </c>
      <c r="AI52" t="e">
        <f t="shared" ca="1" si="26"/>
        <v>#N/A</v>
      </c>
      <c r="AJ52" t="e">
        <f ca="1">SUM($AI$27:AI52)</f>
        <v>#N/A</v>
      </c>
      <c r="AK52" t="e">
        <f t="shared" ca="1" si="27"/>
        <v>#N/A</v>
      </c>
      <c r="AL52" t="e">
        <f ca="1">SUM($AK$27:AK52)</f>
        <v>#N/A</v>
      </c>
      <c r="AM52" s="407" t="e">
        <f t="shared" ref="AM52:AM83" ca="1" si="33">ROUND((AE27*$AX$46)+(AE28*$AX$45)+(AE29*$AX$44)+(AE30*$AX$43)+(AE31*$AX$42)+(AE32*$AX$41)+(AE33*$AX$40)+(AE34*$AX$39)+(AE35*$AX$38)+(AE36*$AX$37)+(AE37*$AX$36)+(AE38*$AX$35)+(AE39*$AX$34)+(AE40*$AX$33)+(AE41*$AX$32)+(AE42*$AX$31)+(AE43*$AX$30)+(AE44*$AX$29)+(AE45*$AX$28)+(AE46*$AX$27),0)</f>
        <v>#N/A</v>
      </c>
      <c r="AN52" s="248" t="e">
        <f ca="1">SUM($T$27:T52)+SUM($AM$27:AM52)</f>
        <v>#N/A</v>
      </c>
      <c r="AO52" t="e">
        <f t="shared" ca="1" si="30"/>
        <v>#N/A</v>
      </c>
      <c r="AP52" t="e">
        <f ca="1">SUM($AO$27:AO52)</f>
        <v>#N/A</v>
      </c>
      <c r="AQ52" t="e">
        <f t="shared" ca="1" si="20"/>
        <v>#N/A</v>
      </c>
      <c r="AR52" t="e">
        <f t="shared" ca="1" si="10"/>
        <v>#N/A</v>
      </c>
      <c r="AS52" s="882" t="e">
        <f ca="1">IF(J52-Q52-S52&lt;0,0,J52-Q52-S52)</f>
        <v>#N/A</v>
      </c>
      <c r="AT52" s="882" t="e">
        <f ca="1">IF(Q52+AA52-AJ52-AN52&lt;0,0,IF(AND(AO52=0,AO51=1),0,Q52+AA52-AJ52-AN52))</f>
        <v>#N/A</v>
      </c>
      <c r="AU52" t="e">
        <f t="shared" ca="1" si="23"/>
        <v>#N/A</v>
      </c>
      <c r="AZ52" t="e">
        <f t="shared" ca="1" si="11"/>
        <v>#N/A</v>
      </c>
      <c r="BA52" s="105" t="e">
        <f t="shared" ca="1" si="12"/>
        <v>#N/A</v>
      </c>
    </row>
    <row r="53" spans="2:53" x14ac:dyDescent="0.25">
      <c r="B53" s="105">
        <f>'PEP Impact Model'!B45</f>
        <v>26</v>
      </c>
      <c r="C53">
        <f>'PEP Impact Model'!C45</f>
        <v>27</v>
      </c>
      <c r="D53" s="78" t="e">
        <f ca="1">IF('PEP Impact Model'!$O$80=0,'PEP Impact Model'!J45,'PEP Impact Model'!O45)</f>
        <v>#N/A</v>
      </c>
      <c r="E53" s="78" t="e">
        <f t="shared" ca="1" si="28"/>
        <v>#N/A</v>
      </c>
      <c r="F53" t="e">
        <f t="shared" ca="1" si="13"/>
        <v>#N/A</v>
      </c>
      <c r="G53" t="e">
        <f ca="1">SUM($F$27:F53)</f>
        <v>#N/A</v>
      </c>
      <c r="H53" t="e">
        <f t="shared" si="0"/>
        <v>#N/A</v>
      </c>
      <c r="I53" t="e">
        <f t="shared" ca="1" si="1"/>
        <v>#N/A</v>
      </c>
      <c r="J53" t="e">
        <f ca="1">SUM($I$27:I53)</f>
        <v>#N/A</v>
      </c>
      <c r="K53" t="e">
        <f t="shared" ca="1" si="2"/>
        <v>#N/A</v>
      </c>
      <c r="L53" t="e">
        <f t="shared" ca="1" si="3"/>
        <v>#N/A</v>
      </c>
      <c r="M53" s="888">
        <f t="shared" si="14"/>
        <v>0.5</v>
      </c>
      <c r="N53" s="248" t="e">
        <f t="shared" ca="1" si="15"/>
        <v>#N/A</v>
      </c>
      <c r="O53" s="248" t="e">
        <f t="shared" ca="1" si="16"/>
        <v>#N/A</v>
      </c>
      <c r="P53" s="248" t="e">
        <f t="shared" ca="1" si="29"/>
        <v>#N/A</v>
      </c>
      <c r="Q53" s="244" t="e">
        <f ca="1">SUM($P$27:P53)+SUM($V$27:V53)</f>
        <v>#N/A</v>
      </c>
      <c r="R53" s="244" t="e">
        <f t="shared" ca="1" si="31"/>
        <v>#N/A</v>
      </c>
      <c r="S53" s="248" t="e">
        <f ca="1">SUM($R$27:R53)</f>
        <v>#N/A</v>
      </c>
      <c r="T53" s="244" t="e">
        <f t="shared" ca="1" si="32"/>
        <v>#N/A</v>
      </c>
      <c r="U53" s="244" t="e">
        <f ca="1">SUM($T$27:T53)</f>
        <v>#N/A</v>
      </c>
      <c r="V53" t="e">
        <f t="shared" ca="1" si="17"/>
        <v>#N/A</v>
      </c>
      <c r="W53" s="75" t="e">
        <f ca="1">SUM($V$27:V53)</f>
        <v>#N/A</v>
      </c>
      <c r="X53" s="78" t="e">
        <f t="shared" ca="1" si="4"/>
        <v>#N/A</v>
      </c>
      <c r="Y53" t="e">
        <f t="shared" si="5"/>
        <v>#N/A</v>
      </c>
      <c r="Z53" t="e">
        <f t="shared" ca="1" si="6"/>
        <v>#N/A</v>
      </c>
      <c r="AA53" s="75" t="e">
        <f ca="1">SUM($Z$27:Z53)</f>
        <v>#N/A</v>
      </c>
      <c r="AB53" t="e">
        <f t="shared" ca="1" si="7"/>
        <v>#N/A</v>
      </c>
      <c r="AC53" s="78" t="e">
        <f ca="1">SUM($AB$27:AB53)</f>
        <v>#N/A</v>
      </c>
      <c r="AD53" t="e">
        <f t="shared" ca="1" si="8"/>
        <v>#N/A</v>
      </c>
      <c r="AE53" t="e">
        <f t="shared" ca="1" si="18"/>
        <v>#N/A</v>
      </c>
      <c r="AF53" t="e">
        <f t="shared" ca="1" si="9"/>
        <v>#N/A</v>
      </c>
      <c r="AG53" t="e">
        <f t="shared" ca="1" si="25"/>
        <v>#N/A</v>
      </c>
      <c r="AH53" t="e">
        <f t="shared" ca="1" si="19"/>
        <v>#N/A</v>
      </c>
      <c r="AI53" t="e">
        <f t="shared" ca="1" si="26"/>
        <v>#N/A</v>
      </c>
      <c r="AJ53" t="e">
        <f ca="1">SUM($AI$27:AI53)</f>
        <v>#N/A</v>
      </c>
      <c r="AK53" t="e">
        <f t="shared" ca="1" si="27"/>
        <v>#N/A</v>
      </c>
      <c r="AL53" t="e">
        <f ca="1">SUM($AK$27:AK53)</f>
        <v>#N/A</v>
      </c>
      <c r="AM53" s="244" t="e">
        <f t="shared" ca="1" si="33"/>
        <v>#N/A</v>
      </c>
      <c r="AN53" s="248" t="e">
        <f ca="1">SUM($T$27:T53)+SUM($AM$27:AM53)</f>
        <v>#N/A</v>
      </c>
      <c r="AO53" t="e">
        <f t="shared" ca="1" si="30"/>
        <v>#N/A</v>
      </c>
      <c r="AP53" t="e">
        <f ca="1">SUM($AO$27:AO53)</f>
        <v>#N/A</v>
      </c>
      <c r="AQ53" t="e">
        <f t="shared" ca="1" si="20"/>
        <v>#N/A</v>
      </c>
      <c r="AR53" t="e">
        <f t="shared" ca="1" si="10"/>
        <v>#N/A</v>
      </c>
      <c r="AS53" t="e">
        <f ca="1">IF(J53-Q53-S53&lt;AO53,AO53,IF(OR(AND(AO53=0,AO52=1),AND(AO53=0,AO52=0)),0,J53-Q53-S53))</f>
        <v>#N/A</v>
      </c>
      <c r="AT53" t="e">
        <f ca="1">IF(Q53+AA53-AJ53-AN53&lt;AO53,AO53,IF(OR(AND(AO53=0,AO52=1),AND(AO53=0,AO52=0)),0,Q53+AA53-AJ53-AN53))</f>
        <v>#N/A</v>
      </c>
      <c r="AU53" t="e">
        <f t="shared" ca="1" si="23"/>
        <v>#N/A</v>
      </c>
      <c r="AZ53" t="e">
        <f ca="1">IF(AT53=MAX($AU$27:$AU$106),1,"")</f>
        <v>#N/A</v>
      </c>
      <c r="BA53" s="105" t="e">
        <f t="shared" ca="1" si="12"/>
        <v>#N/A</v>
      </c>
    </row>
    <row r="54" spans="2:53" x14ac:dyDescent="0.25">
      <c r="B54" s="105">
        <f>'PEP Impact Model'!B46</f>
        <v>27</v>
      </c>
      <c r="C54">
        <f>'PEP Impact Model'!C46</f>
        <v>28</v>
      </c>
      <c r="D54" s="78" t="e">
        <f ca="1">IF('PEP Impact Model'!$O$80=0,'PEP Impact Model'!J46,'PEP Impact Model'!O46)</f>
        <v>#N/A</v>
      </c>
      <c r="E54" s="78" t="e">
        <f t="shared" ca="1" si="28"/>
        <v>#N/A</v>
      </c>
      <c r="F54" t="e">
        <f t="shared" ca="1" si="13"/>
        <v>#N/A</v>
      </c>
      <c r="G54" t="e">
        <f ca="1">SUM($F$27:F54)</f>
        <v>#N/A</v>
      </c>
      <c r="H54" t="e">
        <f t="shared" si="0"/>
        <v>#N/A</v>
      </c>
      <c r="I54" t="e">
        <f t="shared" ca="1" si="1"/>
        <v>#N/A</v>
      </c>
      <c r="J54" t="e">
        <f ca="1">SUM($I$27:I54)</f>
        <v>#N/A</v>
      </c>
      <c r="K54" t="e">
        <f t="shared" ca="1" si="2"/>
        <v>#N/A</v>
      </c>
      <c r="L54" t="e">
        <f t="shared" ca="1" si="3"/>
        <v>#N/A</v>
      </c>
      <c r="M54" s="888">
        <f t="shared" si="14"/>
        <v>0.5</v>
      </c>
      <c r="N54" s="248" t="e">
        <f t="shared" ca="1" si="15"/>
        <v>#N/A</v>
      </c>
      <c r="O54" s="248" t="e">
        <f t="shared" ca="1" si="16"/>
        <v>#N/A</v>
      </c>
      <c r="P54" s="248" t="e">
        <f t="shared" ca="1" si="29"/>
        <v>#N/A</v>
      </c>
      <c r="Q54" s="244" t="e">
        <f ca="1">SUM($P$27:P54)+SUM($V$27:V54)</f>
        <v>#N/A</v>
      </c>
      <c r="R54" s="244" t="e">
        <f t="shared" ca="1" si="31"/>
        <v>#N/A</v>
      </c>
      <c r="S54" s="248" t="e">
        <f ca="1">SUM($R$27:R54)</f>
        <v>#N/A</v>
      </c>
      <c r="T54" s="244" t="e">
        <f t="shared" ca="1" si="32"/>
        <v>#N/A</v>
      </c>
      <c r="U54" s="244" t="e">
        <f ca="1">SUM($T$27:T54)</f>
        <v>#N/A</v>
      </c>
      <c r="V54" t="e">
        <f t="shared" ca="1" si="17"/>
        <v>#N/A</v>
      </c>
      <c r="W54" s="75" t="e">
        <f ca="1">SUM($V$27:V54)</f>
        <v>#N/A</v>
      </c>
      <c r="X54" s="78" t="e">
        <f t="shared" ca="1" si="4"/>
        <v>#N/A</v>
      </c>
      <c r="Y54" t="e">
        <f t="shared" si="5"/>
        <v>#N/A</v>
      </c>
      <c r="Z54" t="e">
        <f t="shared" ca="1" si="6"/>
        <v>#N/A</v>
      </c>
      <c r="AA54" s="75" t="e">
        <f ca="1">SUM($Z$27:Z54)</f>
        <v>#N/A</v>
      </c>
      <c r="AB54" t="e">
        <f t="shared" ca="1" si="7"/>
        <v>#N/A</v>
      </c>
      <c r="AC54" s="78" t="e">
        <f ca="1">SUM($AB$27:AB54)</f>
        <v>#N/A</v>
      </c>
      <c r="AD54" t="e">
        <f t="shared" ca="1" si="8"/>
        <v>#N/A</v>
      </c>
      <c r="AE54" t="e">
        <f t="shared" ca="1" si="18"/>
        <v>#N/A</v>
      </c>
      <c r="AF54" t="e">
        <f t="shared" ca="1" si="9"/>
        <v>#N/A</v>
      </c>
      <c r="AG54" t="e">
        <f t="shared" ca="1" si="25"/>
        <v>#N/A</v>
      </c>
      <c r="AH54" t="e">
        <f t="shared" ca="1" si="19"/>
        <v>#N/A</v>
      </c>
      <c r="AI54" t="e">
        <f t="shared" ca="1" si="26"/>
        <v>#N/A</v>
      </c>
      <c r="AJ54" t="e">
        <f ca="1">SUM($AI$27:AI54)</f>
        <v>#N/A</v>
      </c>
      <c r="AK54" t="e">
        <f t="shared" ca="1" si="27"/>
        <v>#N/A</v>
      </c>
      <c r="AL54" t="e">
        <f ca="1">SUM($AK$27:AK54)</f>
        <v>#N/A</v>
      </c>
      <c r="AM54" s="244" t="e">
        <f t="shared" ca="1" si="33"/>
        <v>#N/A</v>
      </c>
      <c r="AN54" s="248" t="e">
        <f ca="1">SUM($T$27:T54)+SUM($AM$27:AM54)</f>
        <v>#N/A</v>
      </c>
      <c r="AO54" t="e">
        <f t="shared" ca="1" si="30"/>
        <v>#N/A</v>
      </c>
      <c r="AP54" t="e">
        <f ca="1">SUM($AO$27:AO54)</f>
        <v>#N/A</v>
      </c>
      <c r="AQ54" t="e">
        <f t="shared" ca="1" si="20"/>
        <v>#N/A</v>
      </c>
      <c r="AR54" t="e">
        <f t="shared" ca="1" si="10"/>
        <v>#N/A</v>
      </c>
      <c r="AS54" t="e">
        <f t="shared" ref="AS54:AS106" ca="1" si="34">IF(J54-Q54-S54&lt;AO54,AO54,IF(OR(AND(AO54=0,AO53=1),AND(AO54=0,AO53=0)),0,J54-Q54-S54))</f>
        <v>#N/A</v>
      </c>
      <c r="AT54" t="e">
        <f t="shared" ref="AT54:AT106" ca="1" si="35">IF(Q54+AA54-AJ54-AN54&lt;AO54,AO54,IF(OR(AND(AO54=0,AO53=1),AND(AO54=0,AO53=0)),0,Q54+AA54-AJ54-AN54))</f>
        <v>#N/A</v>
      </c>
      <c r="AU54" t="e">
        <f t="shared" ca="1" si="23"/>
        <v>#N/A</v>
      </c>
      <c r="AZ54" t="e">
        <f t="shared" ca="1" si="11"/>
        <v>#N/A</v>
      </c>
      <c r="BA54" s="105" t="e">
        <f t="shared" ca="1" si="12"/>
        <v>#N/A</v>
      </c>
    </row>
    <row r="55" spans="2:53" x14ac:dyDescent="0.25">
      <c r="B55" s="105">
        <f>'PEP Impact Model'!B47</f>
        <v>28</v>
      </c>
      <c r="C55">
        <f>'PEP Impact Model'!C47</f>
        <v>29</v>
      </c>
      <c r="D55" s="78" t="e">
        <f ca="1">IF('PEP Impact Model'!$O$80=0,'PEP Impact Model'!J47,'PEP Impact Model'!O47)</f>
        <v>#N/A</v>
      </c>
      <c r="E55" s="78" t="e">
        <f t="shared" ca="1" si="28"/>
        <v>#N/A</v>
      </c>
      <c r="F55" t="e">
        <f t="shared" ca="1" si="13"/>
        <v>#N/A</v>
      </c>
      <c r="G55" t="e">
        <f ca="1">SUM($F$27:F55)</f>
        <v>#N/A</v>
      </c>
      <c r="H55" t="e">
        <f t="shared" si="0"/>
        <v>#N/A</v>
      </c>
      <c r="I55" t="e">
        <f t="shared" ca="1" si="1"/>
        <v>#N/A</v>
      </c>
      <c r="J55" t="e">
        <f ca="1">SUM($I$27:I55)</f>
        <v>#N/A</v>
      </c>
      <c r="K55" t="e">
        <f t="shared" ca="1" si="2"/>
        <v>#N/A</v>
      </c>
      <c r="L55" t="e">
        <f t="shared" ca="1" si="3"/>
        <v>#N/A</v>
      </c>
      <c r="M55" s="888">
        <f t="shared" si="14"/>
        <v>0.5</v>
      </c>
      <c r="N55" s="248" t="e">
        <f t="shared" ca="1" si="15"/>
        <v>#N/A</v>
      </c>
      <c r="O55" s="248" t="e">
        <f t="shared" ca="1" si="16"/>
        <v>#N/A</v>
      </c>
      <c r="P55" s="248" t="e">
        <f t="shared" ca="1" si="29"/>
        <v>#N/A</v>
      </c>
      <c r="Q55" s="244" t="e">
        <f ca="1">SUM($P$27:P55)+SUM($V$27:V55)</f>
        <v>#N/A</v>
      </c>
      <c r="R55" s="244" t="e">
        <f t="shared" ca="1" si="31"/>
        <v>#N/A</v>
      </c>
      <c r="S55" s="248" t="e">
        <f ca="1">SUM($R$27:R55)</f>
        <v>#N/A</v>
      </c>
      <c r="T55" s="244" t="e">
        <f t="shared" ca="1" si="32"/>
        <v>#N/A</v>
      </c>
      <c r="U55" s="244" t="e">
        <f ca="1">SUM($T$27:T55)</f>
        <v>#N/A</v>
      </c>
      <c r="V55" t="e">
        <f t="shared" ca="1" si="17"/>
        <v>#N/A</v>
      </c>
      <c r="W55" s="75" t="e">
        <f ca="1">SUM($V$27:V55)</f>
        <v>#N/A</v>
      </c>
      <c r="X55" s="78" t="e">
        <f t="shared" ca="1" si="4"/>
        <v>#N/A</v>
      </c>
      <c r="Y55" t="e">
        <f t="shared" si="5"/>
        <v>#N/A</v>
      </c>
      <c r="Z55" t="e">
        <f t="shared" ca="1" si="6"/>
        <v>#N/A</v>
      </c>
      <c r="AA55" s="75" t="e">
        <f ca="1">SUM($Z$27:Z55)</f>
        <v>#N/A</v>
      </c>
      <c r="AB55" t="e">
        <f t="shared" ca="1" si="7"/>
        <v>#N/A</v>
      </c>
      <c r="AC55" s="78" t="e">
        <f ca="1">SUM($AB$27:AB55)</f>
        <v>#N/A</v>
      </c>
      <c r="AD55" t="e">
        <f t="shared" ca="1" si="8"/>
        <v>#N/A</v>
      </c>
      <c r="AE55" t="e">
        <f t="shared" ca="1" si="18"/>
        <v>#N/A</v>
      </c>
      <c r="AF55" t="e">
        <f t="shared" ca="1" si="9"/>
        <v>#N/A</v>
      </c>
      <c r="AG55" t="e">
        <f t="shared" ca="1" si="25"/>
        <v>#N/A</v>
      </c>
      <c r="AH55" t="e">
        <f t="shared" ca="1" si="19"/>
        <v>#N/A</v>
      </c>
      <c r="AI55" t="e">
        <f t="shared" ca="1" si="26"/>
        <v>#N/A</v>
      </c>
      <c r="AJ55" t="e">
        <f ca="1">SUM($AI$27:AI55)</f>
        <v>#N/A</v>
      </c>
      <c r="AK55" t="e">
        <f t="shared" ca="1" si="27"/>
        <v>#N/A</v>
      </c>
      <c r="AL55" t="e">
        <f ca="1">SUM($AK$27:AK55)</f>
        <v>#N/A</v>
      </c>
      <c r="AM55" s="244" t="e">
        <f t="shared" ca="1" si="33"/>
        <v>#N/A</v>
      </c>
      <c r="AN55" s="248" t="e">
        <f ca="1">SUM($T$27:T55)+SUM($AM$27:AM55)</f>
        <v>#N/A</v>
      </c>
      <c r="AO55" t="e">
        <f t="shared" ca="1" si="30"/>
        <v>#N/A</v>
      </c>
      <c r="AP55" t="e">
        <f ca="1">SUM($AO$27:AO55)</f>
        <v>#N/A</v>
      </c>
      <c r="AQ55" t="e">
        <f t="shared" ca="1" si="20"/>
        <v>#N/A</v>
      </c>
      <c r="AR55" t="e">
        <f t="shared" ca="1" si="10"/>
        <v>#N/A</v>
      </c>
      <c r="AS55" t="e">
        <f t="shared" ca="1" si="34"/>
        <v>#N/A</v>
      </c>
      <c r="AT55" t="e">
        <f t="shared" ca="1" si="35"/>
        <v>#N/A</v>
      </c>
      <c r="AU55" t="e">
        <f t="shared" ca="1" si="23"/>
        <v>#N/A</v>
      </c>
      <c r="AZ55" t="e">
        <f t="shared" ca="1" si="11"/>
        <v>#N/A</v>
      </c>
      <c r="BA55" s="105" t="e">
        <f t="shared" ca="1" si="12"/>
        <v>#N/A</v>
      </c>
    </row>
    <row r="56" spans="2:53" x14ac:dyDescent="0.25">
      <c r="B56" s="105">
        <f>'PEP Impact Model'!B48</f>
        <v>29</v>
      </c>
      <c r="C56">
        <f>'PEP Impact Model'!C48</f>
        <v>30</v>
      </c>
      <c r="D56" s="78" t="e">
        <f ca="1">IF('PEP Impact Model'!$O$80=0,'PEP Impact Model'!J48,'PEP Impact Model'!O48)</f>
        <v>#N/A</v>
      </c>
      <c r="E56" s="78" t="e">
        <f t="shared" ca="1" si="28"/>
        <v>#N/A</v>
      </c>
      <c r="F56" t="e">
        <f t="shared" ca="1" si="13"/>
        <v>#N/A</v>
      </c>
      <c r="G56" t="e">
        <f ca="1">SUM($F$27:F56)</f>
        <v>#N/A</v>
      </c>
      <c r="H56" t="e">
        <f t="shared" si="0"/>
        <v>#N/A</v>
      </c>
      <c r="I56" t="e">
        <f t="shared" ca="1" si="1"/>
        <v>#N/A</v>
      </c>
      <c r="J56" t="e">
        <f ca="1">SUM($I$27:I56)</f>
        <v>#N/A</v>
      </c>
      <c r="K56" t="e">
        <f t="shared" ca="1" si="2"/>
        <v>#N/A</v>
      </c>
      <c r="L56" t="e">
        <f t="shared" ca="1" si="3"/>
        <v>#N/A</v>
      </c>
      <c r="M56" s="888">
        <f t="shared" si="14"/>
        <v>0.5</v>
      </c>
      <c r="N56" s="248" t="e">
        <f t="shared" ca="1" si="15"/>
        <v>#N/A</v>
      </c>
      <c r="O56" s="248" t="e">
        <f t="shared" ca="1" si="16"/>
        <v>#N/A</v>
      </c>
      <c r="P56" s="248" t="e">
        <f t="shared" ca="1" si="29"/>
        <v>#N/A</v>
      </c>
      <c r="Q56" s="244" t="e">
        <f ca="1">SUM($P$27:P56)+SUM($V$27:V56)</f>
        <v>#N/A</v>
      </c>
      <c r="R56" s="244" t="e">
        <f t="shared" ca="1" si="31"/>
        <v>#N/A</v>
      </c>
      <c r="S56" s="248" t="e">
        <f ca="1">SUM($R$27:R56)</f>
        <v>#N/A</v>
      </c>
      <c r="T56" s="244" t="e">
        <f t="shared" ca="1" si="32"/>
        <v>#N/A</v>
      </c>
      <c r="U56" s="244" t="e">
        <f ca="1">SUM($T$27:T56)</f>
        <v>#N/A</v>
      </c>
      <c r="V56" t="e">
        <f t="shared" ca="1" si="17"/>
        <v>#N/A</v>
      </c>
      <c r="W56" s="75" t="e">
        <f ca="1">SUM($V$27:V56)</f>
        <v>#N/A</v>
      </c>
      <c r="X56" s="78" t="e">
        <f t="shared" ca="1" si="4"/>
        <v>#N/A</v>
      </c>
      <c r="Y56" t="e">
        <f t="shared" si="5"/>
        <v>#N/A</v>
      </c>
      <c r="Z56" t="e">
        <f t="shared" ca="1" si="6"/>
        <v>#N/A</v>
      </c>
      <c r="AA56" s="75" t="e">
        <f ca="1">SUM($Z$27:Z56)</f>
        <v>#N/A</v>
      </c>
      <c r="AB56" t="e">
        <f t="shared" ca="1" si="7"/>
        <v>#N/A</v>
      </c>
      <c r="AC56" s="78" t="e">
        <f ca="1">SUM($AB$27:AB56)</f>
        <v>#N/A</v>
      </c>
      <c r="AD56" t="e">
        <f t="shared" ca="1" si="8"/>
        <v>#N/A</v>
      </c>
      <c r="AE56" t="e">
        <f t="shared" ca="1" si="18"/>
        <v>#N/A</v>
      </c>
      <c r="AF56" t="e">
        <f t="shared" ca="1" si="9"/>
        <v>#N/A</v>
      </c>
      <c r="AG56" t="e">
        <f t="shared" ca="1" si="25"/>
        <v>#N/A</v>
      </c>
      <c r="AH56" t="e">
        <f t="shared" ca="1" si="19"/>
        <v>#N/A</v>
      </c>
      <c r="AI56" t="e">
        <f t="shared" ca="1" si="26"/>
        <v>#N/A</v>
      </c>
      <c r="AJ56" t="e">
        <f ca="1">SUM($AI$27:AI56)</f>
        <v>#N/A</v>
      </c>
      <c r="AK56" t="e">
        <f t="shared" ca="1" si="27"/>
        <v>#N/A</v>
      </c>
      <c r="AL56" t="e">
        <f ca="1">SUM($AK$27:AK56)</f>
        <v>#N/A</v>
      </c>
      <c r="AM56" s="244" t="e">
        <f t="shared" ca="1" si="33"/>
        <v>#N/A</v>
      </c>
      <c r="AN56" s="248" t="e">
        <f ca="1">SUM($T$27:T56)+SUM($AM$27:AM56)</f>
        <v>#N/A</v>
      </c>
      <c r="AO56" t="e">
        <f t="shared" ca="1" si="30"/>
        <v>#N/A</v>
      </c>
      <c r="AP56" t="e">
        <f ca="1">SUM($AO$27:AO56)</f>
        <v>#N/A</v>
      </c>
      <c r="AQ56" t="e">
        <f t="shared" ca="1" si="20"/>
        <v>#N/A</v>
      </c>
      <c r="AR56" t="e">
        <f t="shared" ca="1" si="10"/>
        <v>#N/A</v>
      </c>
      <c r="AS56" t="e">
        <f t="shared" ca="1" si="34"/>
        <v>#N/A</v>
      </c>
      <c r="AT56" t="e">
        <f t="shared" ca="1" si="35"/>
        <v>#N/A</v>
      </c>
      <c r="AU56" t="e">
        <f t="shared" ca="1" si="23"/>
        <v>#N/A</v>
      </c>
      <c r="AZ56" t="e">
        <f t="shared" ca="1" si="11"/>
        <v>#N/A</v>
      </c>
      <c r="BA56" s="105" t="e">
        <f t="shared" ca="1" si="12"/>
        <v>#N/A</v>
      </c>
    </row>
    <row r="57" spans="2:53" x14ac:dyDescent="0.25">
      <c r="B57" s="105">
        <f>'PEP Impact Model'!B49</f>
        <v>30</v>
      </c>
      <c r="C57">
        <f>'PEP Impact Model'!C49</f>
        <v>31</v>
      </c>
      <c r="D57" s="78" t="e">
        <f ca="1">IF('PEP Impact Model'!$O$80=0,'PEP Impact Model'!J49,'PEP Impact Model'!O49)</f>
        <v>#N/A</v>
      </c>
      <c r="E57" s="78" t="e">
        <f t="shared" ca="1" si="28"/>
        <v>#N/A</v>
      </c>
      <c r="F57" t="e">
        <f t="shared" ca="1" si="13"/>
        <v>#N/A</v>
      </c>
      <c r="G57" t="e">
        <f ca="1">SUM($F$27:F57)</f>
        <v>#N/A</v>
      </c>
      <c r="H57" t="e">
        <f t="shared" si="0"/>
        <v>#N/A</v>
      </c>
      <c r="I57" t="e">
        <f t="shared" ca="1" si="1"/>
        <v>#N/A</v>
      </c>
      <c r="J57" t="e">
        <f ca="1">SUM($I$27:I57)</f>
        <v>#N/A</v>
      </c>
      <c r="K57" t="e">
        <f t="shared" ca="1" si="2"/>
        <v>#N/A</v>
      </c>
      <c r="L57" t="e">
        <f t="shared" ca="1" si="3"/>
        <v>#N/A</v>
      </c>
      <c r="M57" s="888">
        <f t="shared" si="14"/>
        <v>0.5</v>
      </c>
      <c r="N57" s="248" t="e">
        <f t="shared" ca="1" si="15"/>
        <v>#N/A</v>
      </c>
      <c r="O57" s="248" t="e">
        <f t="shared" ca="1" si="16"/>
        <v>#N/A</v>
      </c>
      <c r="P57" s="248" t="e">
        <f t="shared" ca="1" si="29"/>
        <v>#N/A</v>
      </c>
      <c r="Q57" s="244" t="e">
        <f ca="1">SUM($P$27:P57)+SUM($V$27:V57)</f>
        <v>#N/A</v>
      </c>
      <c r="R57" s="244" t="e">
        <f t="shared" ca="1" si="31"/>
        <v>#N/A</v>
      </c>
      <c r="S57" s="248" t="e">
        <f ca="1">SUM($R$27:R57)</f>
        <v>#N/A</v>
      </c>
      <c r="T57" s="244" t="e">
        <f t="shared" ca="1" si="32"/>
        <v>#N/A</v>
      </c>
      <c r="U57" s="244" t="e">
        <f ca="1">SUM($T$27:T57)</f>
        <v>#N/A</v>
      </c>
      <c r="V57" t="e">
        <f t="shared" ca="1" si="17"/>
        <v>#N/A</v>
      </c>
      <c r="W57" s="75" t="e">
        <f ca="1">SUM($V$27:V57)</f>
        <v>#N/A</v>
      </c>
      <c r="X57" s="78" t="e">
        <f t="shared" ca="1" si="4"/>
        <v>#N/A</v>
      </c>
      <c r="Y57" t="e">
        <f t="shared" si="5"/>
        <v>#N/A</v>
      </c>
      <c r="Z57" t="e">
        <f t="shared" ca="1" si="6"/>
        <v>#N/A</v>
      </c>
      <c r="AA57" s="75" t="e">
        <f ca="1">SUM($Z$27:Z57)</f>
        <v>#N/A</v>
      </c>
      <c r="AB57" t="e">
        <f t="shared" ca="1" si="7"/>
        <v>#N/A</v>
      </c>
      <c r="AC57" s="78" t="e">
        <f ca="1">SUM($AB$27:AB57)</f>
        <v>#N/A</v>
      </c>
      <c r="AD57" t="e">
        <f t="shared" ca="1" si="8"/>
        <v>#N/A</v>
      </c>
      <c r="AE57" t="e">
        <f t="shared" ca="1" si="18"/>
        <v>#N/A</v>
      </c>
      <c r="AF57" t="e">
        <f t="shared" ca="1" si="9"/>
        <v>#N/A</v>
      </c>
      <c r="AG57" t="e">
        <f t="shared" ca="1" si="25"/>
        <v>#N/A</v>
      </c>
      <c r="AH57" t="e">
        <f t="shared" ca="1" si="19"/>
        <v>#N/A</v>
      </c>
      <c r="AI57" t="e">
        <f t="shared" ca="1" si="26"/>
        <v>#N/A</v>
      </c>
      <c r="AJ57" t="e">
        <f ca="1">SUM($AI$27:AI57)</f>
        <v>#N/A</v>
      </c>
      <c r="AK57" t="e">
        <f t="shared" ca="1" si="27"/>
        <v>#N/A</v>
      </c>
      <c r="AL57" t="e">
        <f ca="1">SUM($AK$27:AK57)</f>
        <v>#N/A</v>
      </c>
      <c r="AM57" s="244" t="e">
        <f t="shared" ca="1" si="33"/>
        <v>#N/A</v>
      </c>
      <c r="AN57" s="248" t="e">
        <f ca="1">SUM($T$27:T57)+SUM($AM$27:AM57)</f>
        <v>#N/A</v>
      </c>
      <c r="AO57" t="e">
        <f t="shared" ca="1" si="30"/>
        <v>#N/A</v>
      </c>
      <c r="AP57" t="e">
        <f ca="1">SUM($AO$27:AO57)</f>
        <v>#N/A</v>
      </c>
      <c r="AQ57" t="e">
        <f t="shared" ca="1" si="20"/>
        <v>#N/A</v>
      </c>
      <c r="AR57" t="e">
        <f t="shared" ca="1" si="10"/>
        <v>#N/A</v>
      </c>
      <c r="AS57" t="e">
        <f t="shared" ca="1" si="34"/>
        <v>#N/A</v>
      </c>
      <c r="AT57" t="e">
        <f t="shared" ca="1" si="35"/>
        <v>#N/A</v>
      </c>
      <c r="AU57" t="e">
        <f t="shared" ca="1" si="23"/>
        <v>#N/A</v>
      </c>
      <c r="AZ57" t="e">
        <f t="shared" ca="1" si="11"/>
        <v>#N/A</v>
      </c>
      <c r="BA57" s="105" t="e">
        <f t="shared" ca="1" si="12"/>
        <v>#N/A</v>
      </c>
    </row>
    <row r="58" spans="2:53" x14ac:dyDescent="0.25">
      <c r="B58" s="105">
        <f>'PEP Impact Model'!B50</f>
        <v>31</v>
      </c>
      <c r="C58">
        <f>'PEP Impact Model'!C50</f>
        <v>32</v>
      </c>
      <c r="D58" s="78" t="e">
        <f ca="1">IF('PEP Impact Model'!$O$80=0,'PEP Impact Model'!J50,'PEP Impact Model'!O50)</f>
        <v>#N/A</v>
      </c>
      <c r="E58" s="78" t="e">
        <f t="shared" ca="1" si="28"/>
        <v>#N/A</v>
      </c>
      <c r="F58" t="e">
        <f t="shared" ca="1" si="13"/>
        <v>#N/A</v>
      </c>
      <c r="G58" t="e">
        <f ca="1">SUM($F$27:F58)</f>
        <v>#N/A</v>
      </c>
      <c r="H58" t="e">
        <f t="shared" si="0"/>
        <v>#N/A</v>
      </c>
      <c r="I58" t="e">
        <f t="shared" ca="1" si="1"/>
        <v>#N/A</v>
      </c>
      <c r="J58" t="e">
        <f ca="1">SUM($I$27:I58)</f>
        <v>#N/A</v>
      </c>
      <c r="K58" t="e">
        <f t="shared" ca="1" si="2"/>
        <v>#N/A</v>
      </c>
      <c r="L58" t="e">
        <f t="shared" ca="1" si="3"/>
        <v>#N/A</v>
      </c>
      <c r="M58" s="888">
        <f t="shared" si="14"/>
        <v>0.5</v>
      </c>
      <c r="N58" s="248" t="e">
        <f t="shared" ca="1" si="15"/>
        <v>#N/A</v>
      </c>
      <c r="O58" s="248" t="e">
        <f t="shared" ca="1" si="16"/>
        <v>#N/A</v>
      </c>
      <c r="P58" s="248" t="e">
        <f t="shared" ca="1" si="29"/>
        <v>#N/A</v>
      </c>
      <c r="Q58" s="244" t="e">
        <f ca="1">SUM($P$27:P58)+SUM($V$27:V58)</f>
        <v>#N/A</v>
      </c>
      <c r="R58" s="244" t="e">
        <f t="shared" ca="1" si="31"/>
        <v>#N/A</v>
      </c>
      <c r="S58" s="248" t="e">
        <f ca="1">SUM($R$27:R58)</f>
        <v>#N/A</v>
      </c>
      <c r="T58" s="244" t="e">
        <f t="shared" ca="1" si="32"/>
        <v>#N/A</v>
      </c>
      <c r="U58" s="244" t="e">
        <f ca="1">SUM($T$27:T58)</f>
        <v>#N/A</v>
      </c>
      <c r="V58" t="e">
        <f t="shared" ca="1" si="17"/>
        <v>#N/A</v>
      </c>
      <c r="W58" s="75" t="e">
        <f ca="1">SUM($V$27:V58)</f>
        <v>#N/A</v>
      </c>
      <c r="X58" s="78" t="e">
        <f t="shared" ca="1" si="4"/>
        <v>#N/A</v>
      </c>
      <c r="Y58" t="e">
        <f t="shared" si="5"/>
        <v>#N/A</v>
      </c>
      <c r="Z58" t="e">
        <f t="shared" ca="1" si="6"/>
        <v>#N/A</v>
      </c>
      <c r="AA58" s="75" t="e">
        <f ca="1">SUM($Z$27:Z58)</f>
        <v>#N/A</v>
      </c>
      <c r="AB58" t="e">
        <f t="shared" ca="1" si="7"/>
        <v>#N/A</v>
      </c>
      <c r="AC58" s="78" t="e">
        <f ca="1">SUM($AB$27:AB58)</f>
        <v>#N/A</v>
      </c>
      <c r="AD58" t="e">
        <f t="shared" ca="1" si="8"/>
        <v>#N/A</v>
      </c>
      <c r="AE58" t="e">
        <f t="shared" ca="1" si="18"/>
        <v>#N/A</v>
      </c>
      <c r="AF58" t="e">
        <f t="shared" ca="1" si="9"/>
        <v>#N/A</v>
      </c>
      <c r="AG58" t="e">
        <f t="shared" ca="1" si="25"/>
        <v>#N/A</v>
      </c>
      <c r="AH58" t="e">
        <f t="shared" ca="1" si="19"/>
        <v>#N/A</v>
      </c>
      <c r="AI58" t="e">
        <f t="shared" ca="1" si="26"/>
        <v>#N/A</v>
      </c>
      <c r="AJ58" t="e">
        <f ca="1">SUM($AI$27:AI58)</f>
        <v>#N/A</v>
      </c>
      <c r="AK58" t="e">
        <f t="shared" ca="1" si="27"/>
        <v>#N/A</v>
      </c>
      <c r="AL58" t="e">
        <f ca="1">SUM($AK$27:AK58)</f>
        <v>#N/A</v>
      </c>
      <c r="AM58" s="244" t="e">
        <f t="shared" ca="1" si="33"/>
        <v>#N/A</v>
      </c>
      <c r="AN58" s="248" t="e">
        <f ca="1">SUM($T$27:T58)+SUM($AM$27:AM58)</f>
        <v>#N/A</v>
      </c>
      <c r="AO58" t="e">
        <f t="shared" ca="1" si="30"/>
        <v>#N/A</v>
      </c>
      <c r="AP58" t="e">
        <f ca="1">SUM($AO$27:AO58)</f>
        <v>#N/A</v>
      </c>
      <c r="AQ58" t="e">
        <f t="shared" ca="1" si="20"/>
        <v>#N/A</v>
      </c>
      <c r="AR58" t="e">
        <f t="shared" ca="1" si="10"/>
        <v>#N/A</v>
      </c>
      <c r="AS58" t="e">
        <f t="shared" ca="1" si="34"/>
        <v>#N/A</v>
      </c>
      <c r="AT58" t="e">
        <f t="shared" ca="1" si="35"/>
        <v>#N/A</v>
      </c>
      <c r="AU58" t="e">
        <f t="shared" ca="1" si="23"/>
        <v>#N/A</v>
      </c>
      <c r="AZ58" t="e">
        <f t="shared" ca="1" si="11"/>
        <v>#N/A</v>
      </c>
      <c r="BA58" s="105" t="e">
        <f t="shared" ca="1" si="12"/>
        <v>#N/A</v>
      </c>
    </row>
    <row r="59" spans="2:53" x14ac:dyDescent="0.25">
      <c r="B59" s="105">
        <f>'PEP Impact Model'!B51</f>
        <v>32</v>
      </c>
      <c r="C59">
        <f>'PEP Impact Model'!C51</f>
        <v>33</v>
      </c>
      <c r="D59" s="78" t="e">
        <f ca="1">IF('PEP Impact Model'!$O$80=0,'PEP Impact Model'!J51,'PEP Impact Model'!O51)</f>
        <v>#N/A</v>
      </c>
      <c r="E59" s="78" t="e">
        <f t="shared" ca="1" si="28"/>
        <v>#N/A</v>
      </c>
      <c r="F59" t="e">
        <f t="shared" ca="1" si="13"/>
        <v>#N/A</v>
      </c>
      <c r="G59" t="e">
        <f ca="1">SUM($F$27:F59)</f>
        <v>#N/A</v>
      </c>
      <c r="H59" t="e">
        <f t="shared" ref="H59:H90" si="36">IF(B59&lt;$D$8,$C$11,$D$11)</f>
        <v>#N/A</v>
      </c>
      <c r="I59" t="e">
        <f t="shared" ref="I59:I90" ca="1" si="37">ROUND((E59-(E59*$D$14))*H59,0)</f>
        <v>#N/A</v>
      </c>
      <c r="J59" t="e">
        <f ca="1">SUM($I$27:I59)</f>
        <v>#N/A</v>
      </c>
      <c r="K59" t="e">
        <f t="shared" ref="K59:K90" ca="1" si="38">ROUND(I59*$C$17,0)</f>
        <v>#N/A</v>
      </c>
      <c r="L59" t="e">
        <f t="shared" ref="L59:L90" ca="1" si="39">ROUND((I59*(1-$C$17)),0)</f>
        <v>#N/A</v>
      </c>
      <c r="M59" s="888">
        <f t="shared" si="14"/>
        <v>0.5</v>
      </c>
      <c r="N59" s="248" t="e">
        <f t="shared" ca="1" si="15"/>
        <v>#N/A</v>
      </c>
      <c r="O59" s="248" t="e">
        <f t="shared" ca="1" si="16"/>
        <v>#N/A</v>
      </c>
      <c r="P59" s="248" t="e">
        <f t="shared" ca="1" si="29"/>
        <v>#N/A</v>
      </c>
      <c r="Q59" s="244" t="e">
        <f ca="1">SUM($P$27:P59)+SUM($V$27:V59)</f>
        <v>#N/A</v>
      </c>
      <c r="R59" s="244" t="e">
        <f t="shared" ca="1" si="31"/>
        <v>#N/A</v>
      </c>
      <c r="S59" s="248" t="e">
        <f ca="1">SUM($R$27:R59)</f>
        <v>#N/A</v>
      </c>
      <c r="T59" s="244" t="e">
        <f t="shared" ca="1" si="32"/>
        <v>#N/A</v>
      </c>
      <c r="U59" s="244" t="e">
        <f ca="1">SUM($T$27:T59)</f>
        <v>#N/A</v>
      </c>
      <c r="V59" t="e">
        <f t="shared" ca="1" si="17"/>
        <v>#N/A</v>
      </c>
      <c r="W59" s="75" t="e">
        <f ca="1">SUM($V$27:V59)</f>
        <v>#N/A</v>
      </c>
      <c r="X59" s="78" t="e">
        <f t="shared" ref="X59:X90" ca="1" si="40">E59-F59-I59</f>
        <v>#N/A</v>
      </c>
      <c r="Y59" t="e">
        <f t="shared" ref="Y59:Y90" si="41">IF(B59&lt;$D$8,$C$12,$D$12)</f>
        <v>#N/A</v>
      </c>
      <c r="Z59" t="e">
        <f t="shared" ref="Z59:Z90" ca="1" si="42">ROUND(F59*Y59,0)</f>
        <v>#N/A</v>
      </c>
      <c r="AA59" s="75" t="e">
        <f ca="1">SUM($Z$27:Z59)</f>
        <v>#N/A</v>
      </c>
      <c r="AB59" t="e">
        <f t="shared" ref="AB59:AB90" ca="1" si="43">SUM(I59,Z59)</f>
        <v>#N/A</v>
      </c>
      <c r="AC59" s="78" t="e">
        <f ca="1">SUM($AB$27:AB59)</f>
        <v>#N/A</v>
      </c>
      <c r="AD59" t="e">
        <f t="shared" ref="AD59:AD90" ca="1" si="44">F59-Z59</f>
        <v>#N/A</v>
      </c>
      <c r="AE59" t="e">
        <f t="shared" ref="AE59:AE90" ca="1" si="45">ROUND(Z59*$D$17,0)</f>
        <v>#N/A</v>
      </c>
      <c r="AF59" t="e">
        <f t="shared" ref="AF59:AF90" ca="1" si="46">ROUND(Z59*(1-$D$17),0)</f>
        <v>#N/A</v>
      </c>
      <c r="AG59" t="e">
        <f t="shared" ca="1" si="25"/>
        <v>#N/A</v>
      </c>
      <c r="AH59" t="e">
        <f t="shared" ca="1" si="19"/>
        <v>#N/A</v>
      </c>
      <c r="AI59" t="e">
        <f t="shared" ca="1" si="26"/>
        <v>#N/A</v>
      </c>
      <c r="AJ59" t="e">
        <f ca="1">SUM($AI$27:AI59)</f>
        <v>#N/A</v>
      </c>
      <c r="AK59" t="e">
        <f t="shared" ca="1" si="27"/>
        <v>#N/A</v>
      </c>
      <c r="AL59" t="e">
        <f ca="1">SUM($AK$27:AK59)</f>
        <v>#N/A</v>
      </c>
      <c r="AM59" s="244" t="e">
        <f t="shared" ca="1" si="33"/>
        <v>#N/A</v>
      </c>
      <c r="AN59" s="248" t="e">
        <f ca="1">SUM($T$27:T59)+SUM($AM$27:AM59)</f>
        <v>#N/A</v>
      </c>
      <c r="AO59" t="e">
        <f t="shared" ca="1" si="30"/>
        <v>#N/A</v>
      </c>
      <c r="AP59" t="e">
        <f ca="1">SUM($AO$27:AO59)</f>
        <v>#N/A</v>
      </c>
      <c r="AQ59" t="e">
        <f t="shared" ca="1" si="20"/>
        <v>#N/A</v>
      </c>
      <c r="AR59" t="e">
        <f t="shared" ref="AR59:AR90" ca="1" si="47">U59+W59+AA59</f>
        <v>#N/A</v>
      </c>
      <c r="AS59" t="e">
        <f t="shared" ca="1" si="34"/>
        <v>#N/A</v>
      </c>
      <c r="AT59" t="e">
        <f t="shared" ca="1" si="35"/>
        <v>#N/A</v>
      </c>
      <c r="AU59" t="e">
        <f t="shared" ca="1" si="23"/>
        <v>#N/A</v>
      </c>
      <c r="AZ59" t="e">
        <f t="shared" ref="AZ59:AZ90" ca="1" si="48">IF(AU59=MAX($AU$27:$AU$106),1,"")</f>
        <v>#N/A</v>
      </c>
      <c r="BA59" s="105" t="e">
        <f t="shared" ref="BA59:BA90" ca="1" si="49">IF(AZ59=1,B59,"")</f>
        <v>#N/A</v>
      </c>
    </row>
    <row r="60" spans="2:53" x14ac:dyDescent="0.25">
      <c r="B60" s="105">
        <f>'PEP Impact Model'!B52</f>
        <v>33</v>
      </c>
      <c r="C60">
        <f>'PEP Impact Model'!C52</f>
        <v>34</v>
      </c>
      <c r="D60" s="78" t="e">
        <f ca="1">IF('PEP Impact Model'!$O$80=0,'PEP Impact Model'!J52,'PEP Impact Model'!O52)</f>
        <v>#N/A</v>
      </c>
      <c r="E60" s="78" t="e">
        <f t="shared" ca="1" si="28"/>
        <v>#N/A</v>
      </c>
      <c r="F60" t="e">
        <f t="shared" ref="F60:F91" ca="1" si="50">IF(AND(E60&gt;0.5,E60&lt;1.5),1,ROUND(E60*$D$14,0))</f>
        <v>#N/A</v>
      </c>
      <c r="G60" t="e">
        <f ca="1">SUM($F$27:F60)</f>
        <v>#N/A</v>
      </c>
      <c r="H60" t="e">
        <f t="shared" si="36"/>
        <v>#N/A</v>
      </c>
      <c r="I60" t="e">
        <f t="shared" ca="1" si="37"/>
        <v>#N/A</v>
      </c>
      <c r="J60" t="e">
        <f ca="1">SUM($I$27:I60)</f>
        <v>#N/A</v>
      </c>
      <c r="K60" t="e">
        <f t="shared" ca="1" si="38"/>
        <v>#N/A</v>
      </c>
      <c r="L60" t="e">
        <f t="shared" ca="1" si="39"/>
        <v>#N/A</v>
      </c>
      <c r="M60" s="888">
        <f t="shared" si="14"/>
        <v>0.5</v>
      </c>
      <c r="N60" s="248" t="e">
        <f t="shared" ca="1" si="15"/>
        <v>#N/A</v>
      </c>
      <c r="O60" s="248" t="e">
        <f t="shared" ca="1" si="16"/>
        <v>#N/A</v>
      </c>
      <c r="P60" s="248" t="e">
        <f t="shared" ca="1" si="29"/>
        <v>#N/A</v>
      </c>
      <c r="Q60" s="244" t="e">
        <f ca="1">SUM($P$27:P60)+SUM($V$27:V60)</f>
        <v>#N/A</v>
      </c>
      <c r="R60" s="244" t="e">
        <f t="shared" ca="1" si="31"/>
        <v>#N/A</v>
      </c>
      <c r="S60" s="248" t="e">
        <f ca="1">SUM($R$27:R60)</f>
        <v>#N/A</v>
      </c>
      <c r="T60" s="244" t="e">
        <f t="shared" ca="1" si="32"/>
        <v>#N/A</v>
      </c>
      <c r="U60" s="244" t="e">
        <f ca="1">SUM($T$27:T60)</f>
        <v>#N/A</v>
      </c>
      <c r="V60" t="e">
        <f t="shared" ref="V60:V91" ca="1" si="51">ROUND(L59*0.5+L60*0.5,0)</f>
        <v>#N/A</v>
      </c>
      <c r="W60" s="75" t="e">
        <f ca="1">SUM($V$27:V60)</f>
        <v>#N/A</v>
      </c>
      <c r="X60" s="78" t="e">
        <f t="shared" ca="1" si="40"/>
        <v>#N/A</v>
      </c>
      <c r="Y60" t="e">
        <f t="shared" si="41"/>
        <v>#N/A</v>
      </c>
      <c r="Z60" t="e">
        <f t="shared" ca="1" si="42"/>
        <v>#N/A</v>
      </c>
      <c r="AA60" s="75" t="e">
        <f ca="1">SUM($Z$27:Z60)</f>
        <v>#N/A</v>
      </c>
      <c r="AB60" t="e">
        <f t="shared" ca="1" si="43"/>
        <v>#N/A</v>
      </c>
      <c r="AC60" s="78" t="e">
        <f ca="1">SUM($AB$27:AB60)</f>
        <v>#N/A</v>
      </c>
      <c r="AD60" t="e">
        <f t="shared" ca="1" si="44"/>
        <v>#N/A</v>
      </c>
      <c r="AE60" t="e">
        <f t="shared" ca="1" si="45"/>
        <v>#N/A</v>
      </c>
      <c r="AF60" t="e">
        <f t="shared" ca="1" si="46"/>
        <v>#N/A</v>
      </c>
      <c r="AG60" t="e">
        <f t="shared" ca="1" si="25"/>
        <v>#N/A</v>
      </c>
      <c r="AH60" t="e">
        <f t="shared" ref="AH60:AH91" ca="1" si="52">V59*1</f>
        <v>#N/A</v>
      </c>
      <c r="AI60" t="e">
        <f t="shared" ca="1" si="26"/>
        <v>#N/A</v>
      </c>
      <c r="AJ60" t="e">
        <f ca="1">SUM($AI$27:AI60)</f>
        <v>#N/A</v>
      </c>
      <c r="AK60" t="e">
        <f t="shared" ca="1" si="27"/>
        <v>#N/A</v>
      </c>
      <c r="AL60" t="e">
        <f ca="1">SUM($AK$27:AK60)</f>
        <v>#N/A</v>
      </c>
      <c r="AM60" s="244" t="e">
        <f t="shared" ca="1" si="33"/>
        <v>#N/A</v>
      </c>
      <c r="AN60" s="248" t="e">
        <f ca="1">SUM($T$27:T60)+SUM($AM$27:AM60)</f>
        <v>#N/A</v>
      </c>
      <c r="AO60" t="e">
        <f t="shared" ca="1" si="30"/>
        <v>#N/A</v>
      </c>
      <c r="AP60" t="e">
        <f ca="1">SUM($AO$27:AO60)</f>
        <v>#N/A</v>
      </c>
      <c r="AQ60" t="e">
        <f t="shared" ca="1" si="20"/>
        <v>#N/A</v>
      </c>
      <c r="AR60" t="e">
        <f t="shared" ca="1" si="47"/>
        <v>#N/A</v>
      </c>
      <c r="AS60" t="e">
        <f t="shared" ca="1" si="34"/>
        <v>#N/A</v>
      </c>
      <c r="AT60" t="e">
        <f t="shared" ca="1" si="35"/>
        <v>#N/A</v>
      </c>
      <c r="AU60" t="e">
        <f t="shared" ca="1" si="23"/>
        <v>#N/A</v>
      </c>
      <c r="AZ60" t="e">
        <f t="shared" ca="1" si="48"/>
        <v>#N/A</v>
      </c>
      <c r="BA60" s="105" t="e">
        <f t="shared" ca="1" si="49"/>
        <v>#N/A</v>
      </c>
    </row>
    <row r="61" spans="2:53" x14ac:dyDescent="0.25">
      <c r="B61" s="105">
        <f>'PEP Impact Model'!B53</f>
        <v>34</v>
      </c>
      <c r="C61">
        <f>'PEP Impact Model'!C53</f>
        <v>35</v>
      </c>
      <c r="D61" s="78" t="e">
        <f ca="1">IF('PEP Impact Model'!$O$80=0,'PEP Impact Model'!J53,'PEP Impact Model'!O53)</f>
        <v>#N/A</v>
      </c>
      <c r="E61" s="78" t="e">
        <f t="shared" ca="1" si="28"/>
        <v>#N/A</v>
      </c>
      <c r="F61" t="e">
        <f t="shared" ca="1" si="50"/>
        <v>#N/A</v>
      </c>
      <c r="G61" t="e">
        <f ca="1">SUM($F$27:F61)</f>
        <v>#N/A</v>
      </c>
      <c r="H61" t="e">
        <f t="shared" si="36"/>
        <v>#N/A</v>
      </c>
      <c r="I61" t="e">
        <f t="shared" ca="1" si="37"/>
        <v>#N/A</v>
      </c>
      <c r="J61" t="e">
        <f ca="1">SUM($I$27:I61)</f>
        <v>#N/A</v>
      </c>
      <c r="K61" t="e">
        <f t="shared" ca="1" si="38"/>
        <v>#N/A</v>
      </c>
      <c r="L61" t="e">
        <f t="shared" ca="1" si="39"/>
        <v>#N/A</v>
      </c>
      <c r="M61" s="888">
        <f t="shared" si="14"/>
        <v>0.5</v>
      </c>
      <c r="N61" s="248" t="e">
        <f t="shared" ca="1" si="15"/>
        <v>#N/A</v>
      </c>
      <c r="O61" s="248" t="e">
        <f t="shared" ca="1" si="16"/>
        <v>#N/A</v>
      </c>
      <c r="P61" s="248" t="e">
        <f t="shared" ca="1" si="29"/>
        <v>#N/A</v>
      </c>
      <c r="Q61" s="244" t="e">
        <f ca="1">SUM($P$27:P61)+SUM($V$27:V61)</f>
        <v>#N/A</v>
      </c>
      <c r="R61" s="244" t="e">
        <f t="shared" ca="1" si="31"/>
        <v>#N/A</v>
      </c>
      <c r="S61" s="248" t="e">
        <f ca="1">SUM($R$27:R61)</f>
        <v>#N/A</v>
      </c>
      <c r="T61" s="244" t="e">
        <f t="shared" ca="1" si="32"/>
        <v>#N/A</v>
      </c>
      <c r="U61" s="244" t="e">
        <f ca="1">SUM($T$27:T61)</f>
        <v>#N/A</v>
      </c>
      <c r="V61" t="e">
        <f t="shared" ca="1" si="51"/>
        <v>#N/A</v>
      </c>
      <c r="W61" s="75" t="e">
        <f ca="1">SUM($V$27:V61)</f>
        <v>#N/A</v>
      </c>
      <c r="X61" s="78" t="e">
        <f t="shared" ca="1" si="40"/>
        <v>#N/A</v>
      </c>
      <c r="Y61" t="e">
        <f t="shared" si="41"/>
        <v>#N/A</v>
      </c>
      <c r="Z61" t="e">
        <f t="shared" ca="1" si="42"/>
        <v>#N/A</v>
      </c>
      <c r="AA61" s="75" t="e">
        <f ca="1">SUM($Z$27:Z61)</f>
        <v>#N/A</v>
      </c>
      <c r="AB61" t="e">
        <f t="shared" ca="1" si="43"/>
        <v>#N/A</v>
      </c>
      <c r="AC61" s="78" t="e">
        <f ca="1">SUM($AB$27:AB61)</f>
        <v>#N/A</v>
      </c>
      <c r="AD61" t="e">
        <f t="shared" ca="1" si="44"/>
        <v>#N/A</v>
      </c>
      <c r="AE61" t="e">
        <f t="shared" ca="1" si="45"/>
        <v>#N/A</v>
      </c>
      <c r="AF61" t="e">
        <f t="shared" ca="1" si="46"/>
        <v>#N/A</v>
      </c>
      <c r="AG61" t="e">
        <f t="shared" ca="1" si="25"/>
        <v>#N/A</v>
      </c>
      <c r="AH61" t="e">
        <f t="shared" ca="1" si="52"/>
        <v>#N/A</v>
      </c>
      <c r="AI61" t="e">
        <f t="shared" ca="1" si="26"/>
        <v>#N/A</v>
      </c>
      <c r="AJ61" t="e">
        <f ca="1">SUM($AI$27:AI61)</f>
        <v>#N/A</v>
      </c>
      <c r="AK61" t="e">
        <f t="shared" ca="1" si="27"/>
        <v>#N/A</v>
      </c>
      <c r="AL61" t="e">
        <f ca="1">SUM($AK$27:AK61)</f>
        <v>#N/A</v>
      </c>
      <c r="AM61" s="244" t="e">
        <f t="shared" ca="1" si="33"/>
        <v>#N/A</v>
      </c>
      <c r="AN61" s="248" t="e">
        <f ca="1">SUM($T$27:T61)+SUM($AM$27:AM61)</f>
        <v>#N/A</v>
      </c>
      <c r="AO61" t="e">
        <f t="shared" ca="1" si="30"/>
        <v>#N/A</v>
      </c>
      <c r="AP61" t="e">
        <f ca="1">SUM($AO$27:AO61)</f>
        <v>#N/A</v>
      </c>
      <c r="AQ61" t="e">
        <f t="shared" ca="1" si="20"/>
        <v>#N/A</v>
      </c>
      <c r="AR61" t="e">
        <f t="shared" ca="1" si="47"/>
        <v>#N/A</v>
      </c>
      <c r="AS61" t="e">
        <f t="shared" ca="1" si="34"/>
        <v>#N/A</v>
      </c>
      <c r="AT61" t="e">
        <f t="shared" ca="1" si="35"/>
        <v>#N/A</v>
      </c>
      <c r="AU61" t="e">
        <f t="shared" ca="1" si="23"/>
        <v>#N/A</v>
      </c>
      <c r="AZ61" t="e">
        <f t="shared" ca="1" si="48"/>
        <v>#N/A</v>
      </c>
      <c r="BA61" s="105" t="e">
        <f t="shared" ca="1" si="49"/>
        <v>#N/A</v>
      </c>
    </row>
    <row r="62" spans="2:53" x14ac:dyDescent="0.25">
      <c r="B62" s="105">
        <f>'PEP Impact Model'!B54</f>
        <v>35</v>
      </c>
      <c r="C62">
        <f>'PEP Impact Model'!C54</f>
        <v>36</v>
      </c>
      <c r="D62" s="78" t="e">
        <f ca="1">IF('PEP Impact Model'!$O$80=0,'PEP Impact Model'!J54,'PEP Impact Model'!O54)</f>
        <v>#N/A</v>
      </c>
      <c r="E62" s="78" t="e">
        <f t="shared" ca="1" si="28"/>
        <v>#N/A</v>
      </c>
      <c r="F62" t="e">
        <f t="shared" ca="1" si="50"/>
        <v>#N/A</v>
      </c>
      <c r="G62" t="e">
        <f ca="1">SUM($F$27:F62)</f>
        <v>#N/A</v>
      </c>
      <c r="H62" t="e">
        <f t="shared" si="36"/>
        <v>#N/A</v>
      </c>
      <c r="I62" t="e">
        <f t="shared" ca="1" si="37"/>
        <v>#N/A</v>
      </c>
      <c r="J62" t="e">
        <f ca="1">SUM($I$27:I62)</f>
        <v>#N/A</v>
      </c>
      <c r="K62" t="e">
        <f t="shared" ca="1" si="38"/>
        <v>#N/A</v>
      </c>
      <c r="L62" t="e">
        <f t="shared" ca="1" si="39"/>
        <v>#N/A</v>
      </c>
      <c r="M62" s="888">
        <f t="shared" si="14"/>
        <v>0.5</v>
      </c>
      <c r="N62" s="248" t="e">
        <f t="shared" ca="1" si="15"/>
        <v>#N/A</v>
      </c>
      <c r="O62" s="248" t="e">
        <f t="shared" ca="1" si="16"/>
        <v>#N/A</v>
      </c>
      <c r="P62" s="248" t="e">
        <f t="shared" ca="1" si="29"/>
        <v>#N/A</v>
      </c>
      <c r="Q62" s="244" t="e">
        <f ca="1">SUM($P$27:P62)+SUM($V$27:V62)</f>
        <v>#N/A</v>
      </c>
      <c r="R62" s="244" t="e">
        <f t="shared" ca="1" si="31"/>
        <v>#N/A</v>
      </c>
      <c r="S62" s="248" t="e">
        <f ca="1">SUM($R$27:R62)</f>
        <v>#N/A</v>
      </c>
      <c r="T62" s="244" t="e">
        <f t="shared" ca="1" si="32"/>
        <v>#N/A</v>
      </c>
      <c r="U62" s="244" t="e">
        <f ca="1">SUM($T$27:T62)</f>
        <v>#N/A</v>
      </c>
      <c r="V62" t="e">
        <f t="shared" ca="1" si="51"/>
        <v>#N/A</v>
      </c>
      <c r="W62" s="75" t="e">
        <f ca="1">SUM($V$27:V62)</f>
        <v>#N/A</v>
      </c>
      <c r="X62" s="78" t="e">
        <f t="shared" ca="1" si="40"/>
        <v>#N/A</v>
      </c>
      <c r="Y62" t="e">
        <f t="shared" si="41"/>
        <v>#N/A</v>
      </c>
      <c r="Z62" t="e">
        <f t="shared" ca="1" si="42"/>
        <v>#N/A</v>
      </c>
      <c r="AA62" s="75" t="e">
        <f ca="1">SUM($Z$27:Z62)</f>
        <v>#N/A</v>
      </c>
      <c r="AB62" t="e">
        <f t="shared" ca="1" si="43"/>
        <v>#N/A</v>
      </c>
      <c r="AC62" s="78" t="e">
        <f ca="1">SUM($AB$27:AB62)</f>
        <v>#N/A</v>
      </c>
      <c r="AD62" t="e">
        <f t="shared" ca="1" si="44"/>
        <v>#N/A</v>
      </c>
      <c r="AE62" t="e">
        <f t="shared" ca="1" si="45"/>
        <v>#N/A</v>
      </c>
      <c r="AF62" t="e">
        <f t="shared" ca="1" si="46"/>
        <v>#N/A</v>
      </c>
      <c r="AG62" t="e">
        <f t="shared" ca="1" si="25"/>
        <v>#N/A</v>
      </c>
      <c r="AH62" t="e">
        <f t="shared" ca="1" si="52"/>
        <v>#N/A</v>
      </c>
      <c r="AI62" t="e">
        <f t="shared" ca="1" si="26"/>
        <v>#N/A</v>
      </c>
      <c r="AJ62" t="e">
        <f ca="1">SUM($AI$27:AI62)</f>
        <v>#N/A</v>
      </c>
      <c r="AK62" t="e">
        <f t="shared" ca="1" si="27"/>
        <v>#N/A</v>
      </c>
      <c r="AL62" t="e">
        <f ca="1">SUM($AK$27:AK62)</f>
        <v>#N/A</v>
      </c>
      <c r="AM62" s="244" t="e">
        <f t="shared" ca="1" si="33"/>
        <v>#N/A</v>
      </c>
      <c r="AN62" s="248" t="e">
        <f ca="1">SUM($T$27:T62)+SUM($AM$27:AM62)</f>
        <v>#N/A</v>
      </c>
      <c r="AO62" t="e">
        <f t="shared" ca="1" si="30"/>
        <v>#N/A</v>
      </c>
      <c r="AP62" t="e">
        <f ca="1">SUM($AO$27:AO62)</f>
        <v>#N/A</v>
      </c>
      <c r="AQ62" t="e">
        <f t="shared" ca="1" si="20"/>
        <v>#N/A</v>
      </c>
      <c r="AR62" t="e">
        <f t="shared" ca="1" si="47"/>
        <v>#N/A</v>
      </c>
      <c r="AS62" t="e">
        <f t="shared" ca="1" si="34"/>
        <v>#N/A</v>
      </c>
      <c r="AT62" t="e">
        <f t="shared" ca="1" si="35"/>
        <v>#N/A</v>
      </c>
      <c r="AU62" t="e">
        <f t="shared" ca="1" si="23"/>
        <v>#N/A</v>
      </c>
      <c r="AZ62" t="e">
        <f t="shared" ca="1" si="48"/>
        <v>#N/A</v>
      </c>
      <c r="BA62" s="105" t="e">
        <f t="shared" ca="1" si="49"/>
        <v>#N/A</v>
      </c>
    </row>
    <row r="63" spans="2:53" x14ac:dyDescent="0.25">
      <c r="B63" s="105">
        <f>'PEP Impact Model'!B55</f>
        <v>36</v>
      </c>
      <c r="C63">
        <f>'PEP Impact Model'!C55</f>
        <v>37</v>
      </c>
      <c r="D63" s="78" t="e">
        <f ca="1">IF('PEP Impact Model'!$O$80=0,'PEP Impact Model'!J55,'PEP Impact Model'!O55)</f>
        <v>#N/A</v>
      </c>
      <c r="E63" s="78" t="e">
        <f t="shared" ref="E63:E94" ca="1" si="53">IF(D59&lt;0.5,0,IF(D63+X62&lt;0,1,D63+X62))</f>
        <v>#N/A</v>
      </c>
      <c r="F63" t="e">
        <f t="shared" ca="1" si="50"/>
        <v>#N/A</v>
      </c>
      <c r="G63" t="e">
        <f ca="1">SUM($F$27:F63)</f>
        <v>#N/A</v>
      </c>
      <c r="H63" t="e">
        <f t="shared" si="36"/>
        <v>#N/A</v>
      </c>
      <c r="I63" t="e">
        <f t="shared" ca="1" si="37"/>
        <v>#N/A</v>
      </c>
      <c r="J63" t="e">
        <f ca="1">SUM($I$27:I63)</f>
        <v>#N/A</v>
      </c>
      <c r="K63" t="e">
        <f t="shared" ca="1" si="38"/>
        <v>#N/A</v>
      </c>
      <c r="L63" t="e">
        <f t="shared" ca="1" si="39"/>
        <v>#N/A</v>
      </c>
      <c r="M63" s="888">
        <f t="shared" si="14"/>
        <v>0.5</v>
      </c>
      <c r="N63" s="248" t="e">
        <f t="shared" ca="1" si="15"/>
        <v>#N/A</v>
      </c>
      <c r="O63" s="248" t="e">
        <f t="shared" ca="1" si="16"/>
        <v>#N/A</v>
      </c>
      <c r="P63" s="248" t="e">
        <f t="shared" ca="1" si="29"/>
        <v>#N/A</v>
      </c>
      <c r="Q63" s="244" t="e">
        <f ca="1">SUM($P$27:P63)+SUM($V$27:V63)</f>
        <v>#N/A</v>
      </c>
      <c r="R63" s="244" t="e">
        <f t="shared" ca="1" si="31"/>
        <v>#N/A</v>
      </c>
      <c r="S63" s="248" t="e">
        <f ca="1">SUM($R$27:R63)</f>
        <v>#N/A</v>
      </c>
      <c r="T63" s="244" t="e">
        <f t="shared" ca="1" si="32"/>
        <v>#N/A</v>
      </c>
      <c r="U63" s="244" t="e">
        <f ca="1">SUM($T$27:T63)</f>
        <v>#N/A</v>
      </c>
      <c r="V63" t="e">
        <f t="shared" ca="1" si="51"/>
        <v>#N/A</v>
      </c>
      <c r="W63" s="75" t="e">
        <f ca="1">SUM($V$27:V63)</f>
        <v>#N/A</v>
      </c>
      <c r="X63" s="78" t="e">
        <f t="shared" ca="1" si="40"/>
        <v>#N/A</v>
      </c>
      <c r="Y63" t="e">
        <f t="shared" si="41"/>
        <v>#N/A</v>
      </c>
      <c r="Z63" t="e">
        <f t="shared" ca="1" si="42"/>
        <v>#N/A</v>
      </c>
      <c r="AA63" s="75" t="e">
        <f ca="1">SUM($Z$27:Z63)</f>
        <v>#N/A</v>
      </c>
      <c r="AB63" t="e">
        <f t="shared" ca="1" si="43"/>
        <v>#N/A</v>
      </c>
      <c r="AC63" s="78" t="e">
        <f ca="1">SUM($AB$27:AB63)</f>
        <v>#N/A</v>
      </c>
      <c r="AD63" t="e">
        <f t="shared" ca="1" si="44"/>
        <v>#N/A</v>
      </c>
      <c r="AE63" t="e">
        <f t="shared" ca="1" si="45"/>
        <v>#N/A</v>
      </c>
      <c r="AF63" t="e">
        <f t="shared" ca="1" si="46"/>
        <v>#N/A</v>
      </c>
      <c r="AG63" t="e">
        <f t="shared" ca="1" si="25"/>
        <v>#N/A</v>
      </c>
      <c r="AH63" t="e">
        <f t="shared" ca="1" si="52"/>
        <v>#N/A</v>
      </c>
      <c r="AI63" t="e">
        <f t="shared" ca="1" si="26"/>
        <v>#N/A</v>
      </c>
      <c r="AJ63" t="e">
        <f ca="1">SUM($AI$27:AI63)</f>
        <v>#N/A</v>
      </c>
      <c r="AK63" t="e">
        <f t="shared" ca="1" si="27"/>
        <v>#N/A</v>
      </c>
      <c r="AL63" t="e">
        <f ca="1">SUM($AK$27:AK63)</f>
        <v>#N/A</v>
      </c>
      <c r="AM63" s="244" t="e">
        <f t="shared" ca="1" si="33"/>
        <v>#N/A</v>
      </c>
      <c r="AN63" s="248" t="e">
        <f ca="1">SUM($T$27:T63)+SUM($AM$27:AM63)</f>
        <v>#N/A</v>
      </c>
      <c r="AO63" t="e">
        <f t="shared" ca="1" si="30"/>
        <v>#N/A</v>
      </c>
      <c r="AP63" t="e">
        <f ca="1">SUM($AO$27:AO63)</f>
        <v>#N/A</v>
      </c>
      <c r="AQ63" t="e">
        <f t="shared" ca="1" si="20"/>
        <v>#N/A</v>
      </c>
      <c r="AR63" t="e">
        <f t="shared" ca="1" si="47"/>
        <v>#N/A</v>
      </c>
      <c r="AS63" t="e">
        <f t="shared" ca="1" si="34"/>
        <v>#N/A</v>
      </c>
      <c r="AT63" t="e">
        <f t="shared" ca="1" si="35"/>
        <v>#N/A</v>
      </c>
      <c r="AU63" t="e">
        <f t="shared" ca="1" si="23"/>
        <v>#N/A</v>
      </c>
      <c r="AZ63" t="e">
        <f t="shared" ca="1" si="48"/>
        <v>#N/A</v>
      </c>
      <c r="BA63" s="105" t="e">
        <f t="shared" ca="1" si="49"/>
        <v>#N/A</v>
      </c>
    </row>
    <row r="64" spans="2:53" x14ac:dyDescent="0.25">
      <c r="B64" s="105">
        <f>'PEP Impact Model'!B56</f>
        <v>37</v>
      </c>
      <c r="C64">
        <f>'PEP Impact Model'!C56</f>
        <v>38</v>
      </c>
      <c r="D64" s="78" t="e">
        <f ca="1">IF('PEP Impact Model'!$O$80=0,'PEP Impact Model'!J56,'PEP Impact Model'!O56)</f>
        <v>#N/A</v>
      </c>
      <c r="E64" s="78" t="e">
        <f t="shared" ca="1" si="53"/>
        <v>#N/A</v>
      </c>
      <c r="F64" t="e">
        <f t="shared" ca="1" si="50"/>
        <v>#N/A</v>
      </c>
      <c r="G64" t="e">
        <f ca="1">SUM($F$27:F64)</f>
        <v>#N/A</v>
      </c>
      <c r="H64" t="e">
        <f t="shared" si="36"/>
        <v>#N/A</v>
      </c>
      <c r="I64" t="e">
        <f t="shared" ca="1" si="37"/>
        <v>#N/A</v>
      </c>
      <c r="J64" t="e">
        <f ca="1">SUM($I$27:I64)</f>
        <v>#N/A</v>
      </c>
      <c r="K64" t="e">
        <f t="shared" ca="1" si="38"/>
        <v>#N/A</v>
      </c>
      <c r="L64" t="e">
        <f t="shared" ca="1" si="39"/>
        <v>#N/A</v>
      </c>
      <c r="M64" s="888">
        <f t="shared" si="14"/>
        <v>0.5</v>
      </c>
      <c r="N64" s="248" t="e">
        <f t="shared" ca="1" si="15"/>
        <v>#N/A</v>
      </c>
      <c r="O64" s="248" t="e">
        <f t="shared" ca="1" si="16"/>
        <v>#N/A</v>
      </c>
      <c r="P64" s="248" t="e">
        <f t="shared" ca="1" si="29"/>
        <v>#N/A</v>
      </c>
      <c r="Q64" s="244" t="e">
        <f ca="1">SUM($P$27:P64)+SUM($V$27:V64)</f>
        <v>#N/A</v>
      </c>
      <c r="R64" s="244" t="e">
        <f t="shared" ca="1" si="31"/>
        <v>#N/A</v>
      </c>
      <c r="S64" s="248" t="e">
        <f ca="1">SUM($R$27:R64)</f>
        <v>#N/A</v>
      </c>
      <c r="T64" s="244" t="e">
        <f t="shared" ca="1" si="32"/>
        <v>#N/A</v>
      </c>
      <c r="U64" s="244" t="e">
        <f ca="1">SUM($T$27:T64)</f>
        <v>#N/A</v>
      </c>
      <c r="V64" t="e">
        <f t="shared" ca="1" si="51"/>
        <v>#N/A</v>
      </c>
      <c r="W64" s="75" t="e">
        <f ca="1">SUM($V$27:V64)</f>
        <v>#N/A</v>
      </c>
      <c r="X64" s="78" t="e">
        <f t="shared" ca="1" si="40"/>
        <v>#N/A</v>
      </c>
      <c r="Y64" t="e">
        <f t="shared" si="41"/>
        <v>#N/A</v>
      </c>
      <c r="Z64" t="e">
        <f t="shared" ca="1" si="42"/>
        <v>#N/A</v>
      </c>
      <c r="AA64" s="75" t="e">
        <f ca="1">SUM($Z$27:Z64)</f>
        <v>#N/A</v>
      </c>
      <c r="AB64" s="78" t="e">
        <f t="shared" ca="1" si="43"/>
        <v>#N/A</v>
      </c>
      <c r="AC64" s="78" t="e">
        <f ca="1">SUM($AB$27:AB64)</f>
        <v>#N/A</v>
      </c>
      <c r="AD64" t="e">
        <f t="shared" ca="1" si="44"/>
        <v>#N/A</v>
      </c>
      <c r="AE64" t="e">
        <f t="shared" ca="1" si="45"/>
        <v>#N/A</v>
      </c>
      <c r="AF64" t="e">
        <f t="shared" ca="1" si="46"/>
        <v>#N/A</v>
      </c>
      <c r="AG64" t="e">
        <f t="shared" ca="1" si="25"/>
        <v>#N/A</v>
      </c>
      <c r="AH64" t="e">
        <f t="shared" ca="1" si="52"/>
        <v>#N/A</v>
      </c>
      <c r="AI64" t="e">
        <f t="shared" ca="1" si="26"/>
        <v>#N/A</v>
      </c>
      <c r="AJ64" t="e">
        <f ca="1">SUM($AI$27:AI64)</f>
        <v>#N/A</v>
      </c>
      <c r="AK64" t="e">
        <f t="shared" ca="1" si="27"/>
        <v>#N/A</v>
      </c>
      <c r="AL64" t="e">
        <f ca="1">SUM($AK$27:AK64)</f>
        <v>#N/A</v>
      </c>
      <c r="AM64" s="244" t="e">
        <f t="shared" ca="1" si="33"/>
        <v>#N/A</v>
      </c>
      <c r="AN64" s="248" t="e">
        <f ca="1">SUM($T$27:T64)+SUM($AM$27:AM64)</f>
        <v>#N/A</v>
      </c>
      <c r="AO64" t="e">
        <f t="shared" ca="1" si="30"/>
        <v>#N/A</v>
      </c>
      <c r="AP64" t="e">
        <f ca="1">SUM($AO$27:AO64)</f>
        <v>#N/A</v>
      </c>
      <c r="AQ64" t="e">
        <f t="shared" ca="1" si="20"/>
        <v>#N/A</v>
      </c>
      <c r="AR64" t="e">
        <f t="shared" ca="1" si="47"/>
        <v>#N/A</v>
      </c>
      <c r="AS64" t="e">
        <f t="shared" ca="1" si="34"/>
        <v>#N/A</v>
      </c>
      <c r="AT64" t="e">
        <f t="shared" ca="1" si="35"/>
        <v>#N/A</v>
      </c>
      <c r="AU64" t="e">
        <f t="shared" ca="1" si="23"/>
        <v>#N/A</v>
      </c>
      <c r="AZ64" t="e">
        <f t="shared" ca="1" si="48"/>
        <v>#N/A</v>
      </c>
      <c r="BA64" s="105" t="e">
        <f t="shared" ca="1" si="49"/>
        <v>#N/A</v>
      </c>
    </row>
    <row r="65" spans="2:53" x14ac:dyDescent="0.25">
      <c r="B65" s="105">
        <f>'PEP Impact Model'!B57</f>
        <v>38</v>
      </c>
      <c r="C65">
        <f>'PEP Impact Model'!C57</f>
        <v>39</v>
      </c>
      <c r="D65" s="78" t="e">
        <f ca="1">IF('PEP Impact Model'!$O$80=0,'PEP Impact Model'!J57,'PEP Impact Model'!O57)</f>
        <v>#N/A</v>
      </c>
      <c r="E65" s="78" t="e">
        <f t="shared" ca="1" si="53"/>
        <v>#N/A</v>
      </c>
      <c r="F65" t="e">
        <f t="shared" ca="1" si="50"/>
        <v>#N/A</v>
      </c>
      <c r="G65" t="e">
        <f ca="1">SUM($F$27:F65)</f>
        <v>#N/A</v>
      </c>
      <c r="H65" t="e">
        <f t="shared" si="36"/>
        <v>#N/A</v>
      </c>
      <c r="I65" t="e">
        <f t="shared" ca="1" si="37"/>
        <v>#N/A</v>
      </c>
      <c r="J65" t="e">
        <f ca="1">SUM($I$27:I65)</f>
        <v>#N/A</v>
      </c>
      <c r="K65" t="e">
        <f t="shared" ca="1" si="38"/>
        <v>#N/A</v>
      </c>
      <c r="L65" t="e">
        <f t="shared" ca="1" si="39"/>
        <v>#N/A</v>
      </c>
      <c r="M65" s="888">
        <f t="shared" si="14"/>
        <v>0.5</v>
      </c>
      <c r="N65" s="248" t="e">
        <f t="shared" ca="1" si="15"/>
        <v>#N/A</v>
      </c>
      <c r="O65" s="248" t="e">
        <f t="shared" ca="1" si="16"/>
        <v>#N/A</v>
      </c>
      <c r="P65" s="248" t="e">
        <f t="shared" ca="1" si="29"/>
        <v>#N/A</v>
      </c>
      <c r="Q65" s="244" t="e">
        <f ca="1">SUM($P$27:P65)+SUM($V$27:V65)</f>
        <v>#N/A</v>
      </c>
      <c r="R65" s="244" t="e">
        <f t="shared" ca="1" si="31"/>
        <v>#N/A</v>
      </c>
      <c r="S65" s="248" t="e">
        <f ca="1">SUM($R$27:R65)</f>
        <v>#N/A</v>
      </c>
      <c r="T65" s="244" t="e">
        <f t="shared" ca="1" si="32"/>
        <v>#N/A</v>
      </c>
      <c r="U65" s="244" t="e">
        <f ca="1">SUM($T$27:T65)</f>
        <v>#N/A</v>
      </c>
      <c r="V65" t="e">
        <f t="shared" ca="1" si="51"/>
        <v>#N/A</v>
      </c>
      <c r="W65" s="75" t="e">
        <f ca="1">SUM($V$27:V65)</f>
        <v>#N/A</v>
      </c>
      <c r="X65" s="78" t="e">
        <f t="shared" ca="1" si="40"/>
        <v>#N/A</v>
      </c>
      <c r="Y65" t="e">
        <f t="shared" si="41"/>
        <v>#N/A</v>
      </c>
      <c r="Z65" t="e">
        <f t="shared" ca="1" si="42"/>
        <v>#N/A</v>
      </c>
      <c r="AA65" s="75" t="e">
        <f ca="1">SUM($Z$27:Z65)</f>
        <v>#N/A</v>
      </c>
      <c r="AB65" t="e">
        <f t="shared" ca="1" si="43"/>
        <v>#N/A</v>
      </c>
      <c r="AC65" s="78" t="e">
        <f ca="1">SUM($AB$27:AB65)</f>
        <v>#N/A</v>
      </c>
      <c r="AD65" t="e">
        <f t="shared" ca="1" si="44"/>
        <v>#N/A</v>
      </c>
      <c r="AE65" t="e">
        <f t="shared" ca="1" si="45"/>
        <v>#N/A</v>
      </c>
      <c r="AF65" t="e">
        <f t="shared" ca="1" si="46"/>
        <v>#N/A</v>
      </c>
      <c r="AG65" t="e">
        <f t="shared" ca="1" si="25"/>
        <v>#N/A</v>
      </c>
      <c r="AH65" t="e">
        <f t="shared" ca="1" si="52"/>
        <v>#N/A</v>
      </c>
      <c r="AI65" t="e">
        <f t="shared" ca="1" si="26"/>
        <v>#N/A</v>
      </c>
      <c r="AJ65" t="e">
        <f ca="1">SUM($AI$27:AI65)</f>
        <v>#N/A</v>
      </c>
      <c r="AK65" t="e">
        <f t="shared" ca="1" si="27"/>
        <v>#N/A</v>
      </c>
      <c r="AL65" t="e">
        <f ca="1">SUM($AK$27:AK65)</f>
        <v>#N/A</v>
      </c>
      <c r="AM65" s="244" t="e">
        <f t="shared" ca="1" si="33"/>
        <v>#N/A</v>
      </c>
      <c r="AN65" s="248" t="e">
        <f ca="1">SUM($T$27:T65)+SUM($AM$27:AM65)</f>
        <v>#N/A</v>
      </c>
      <c r="AO65" t="e">
        <f t="shared" ca="1" si="30"/>
        <v>#N/A</v>
      </c>
      <c r="AP65" t="e">
        <f ca="1">SUM($AO$27:AO65)</f>
        <v>#N/A</v>
      </c>
      <c r="AQ65" t="e">
        <f t="shared" ca="1" si="20"/>
        <v>#N/A</v>
      </c>
      <c r="AR65" t="e">
        <f t="shared" ca="1" si="47"/>
        <v>#N/A</v>
      </c>
      <c r="AS65" t="e">
        <f t="shared" ca="1" si="34"/>
        <v>#N/A</v>
      </c>
      <c r="AT65" t="e">
        <f t="shared" ca="1" si="35"/>
        <v>#N/A</v>
      </c>
      <c r="AU65" t="e">
        <f t="shared" ca="1" si="23"/>
        <v>#N/A</v>
      </c>
      <c r="AZ65" t="e">
        <f t="shared" ca="1" si="48"/>
        <v>#N/A</v>
      </c>
      <c r="BA65" s="105" t="e">
        <f t="shared" ca="1" si="49"/>
        <v>#N/A</v>
      </c>
    </row>
    <row r="66" spans="2:53" x14ac:dyDescent="0.25">
      <c r="B66" s="105">
        <f>'PEP Impact Model'!B58</f>
        <v>39</v>
      </c>
      <c r="C66">
        <f>'PEP Impact Model'!C58</f>
        <v>40</v>
      </c>
      <c r="D66" s="78" t="e">
        <f ca="1">IF('PEP Impact Model'!$O$80=0,'PEP Impact Model'!J58,'PEP Impact Model'!O58)</f>
        <v>#N/A</v>
      </c>
      <c r="E66" s="78" t="e">
        <f t="shared" ca="1" si="53"/>
        <v>#N/A</v>
      </c>
      <c r="F66" t="e">
        <f t="shared" ca="1" si="50"/>
        <v>#N/A</v>
      </c>
      <c r="G66" t="e">
        <f ca="1">SUM($F$27:F66)</f>
        <v>#N/A</v>
      </c>
      <c r="H66" t="e">
        <f t="shared" si="36"/>
        <v>#N/A</v>
      </c>
      <c r="I66" t="e">
        <f t="shared" ca="1" si="37"/>
        <v>#N/A</v>
      </c>
      <c r="J66" t="e">
        <f ca="1">SUM($I$27:I66)</f>
        <v>#N/A</v>
      </c>
      <c r="K66" t="e">
        <f t="shared" ca="1" si="38"/>
        <v>#N/A</v>
      </c>
      <c r="L66" t="e">
        <f t="shared" ca="1" si="39"/>
        <v>#N/A</v>
      </c>
      <c r="M66" s="888">
        <f t="shared" si="14"/>
        <v>0.5</v>
      </c>
      <c r="N66" s="248" t="e">
        <f t="shared" ca="1" si="15"/>
        <v>#N/A</v>
      </c>
      <c r="O66" s="248" t="e">
        <f t="shared" ca="1" si="16"/>
        <v>#N/A</v>
      </c>
      <c r="P66" s="248" t="e">
        <f t="shared" ca="1" si="29"/>
        <v>#N/A</v>
      </c>
      <c r="Q66" s="244" t="e">
        <f ca="1">SUM($P$27:P66)+SUM($V$27:V66)</f>
        <v>#N/A</v>
      </c>
      <c r="R66" s="244" t="e">
        <f t="shared" ca="1" si="31"/>
        <v>#N/A</v>
      </c>
      <c r="S66" s="248" t="e">
        <f ca="1">SUM($R$27:R66)</f>
        <v>#N/A</v>
      </c>
      <c r="T66" s="244" t="e">
        <f t="shared" ca="1" si="32"/>
        <v>#N/A</v>
      </c>
      <c r="U66" s="244" t="e">
        <f ca="1">SUM($T$27:T66)</f>
        <v>#N/A</v>
      </c>
      <c r="V66" t="e">
        <f t="shared" ca="1" si="51"/>
        <v>#N/A</v>
      </c>
      <c r="W66" s="75" t="e">
        <f ca="1">SUM($V$27:V66)</f>
        <v>#N/A</v>
      </c>
      <c r="X66" s="78" t="e">
        <f t="shared" ca="1" si="40"/>
        <v>#N/A</v>
      </c>
      <c r="Y66" t="e">
        <f t="shared" si="41"/>
        <v>#N/A</v>
      </c>
      <c r="Z66" t="e">
        <f t="shared" ca="1" si="42"/>
        <v>#N/A</v>
      </c>
      <c r="AA66" s="75" t="e">
        <f ca="1">SUM($Z$27:Z66)</f>
        <v>#N/A</v>
      </c>
      <c r="AB66" t="e">
        <f t="shared" ca="1" si="43"/>
        <v>#N/A</v>
      </c>
      <c r="AC66" s="78" t="e">
        <f ca="1">SUM($AB$27:AB66)</f>
        <v>#N/A</v>
      </c>
      <c r="AD66" t="e">
        <f t="shared" ca="1" si="44"/>
        <v>#N/A</v>
      </c>
      <c r="AE66" t="e">
        <f t="shared" ca="1" si="45"/>
        <v>#N/A</v>
      </c>
      <c r="AF66" t="e">
        <f t="shared" ca="1" si="46"/>
        <v>#N/A</v>
      </c>
      <c r="AG66" t="e">
        <f t="shared" ca="1" si="25"/>
        <v>#N/A</v>
      </c>
      <c r="AH66" t="e">
        <f t="shared" ca="1" si="52"/>
        <v>#N/A</v>
      </c>
      <c r="AI66" t="e">
        <f t="shared" ca="1" si="26"/>
        <v>#N/A</v>
      </c>
      <c r="AJ66" t="e">
        <f ca="1">SUM($AI$27:AI66)</f>
        <v>#N/A</v>
      </c>
      <c r="AK66" t="e">
        <f t="shared" ca="1" si="27"/>
        <v>#N/A</v>
      </c>
      <c r="AL66" t="e">
        <f ca="1">SUM($AK$27:AK66)</f>
        <v>#N/A</v>
      </c>
      <c r="AM66" s="244" t="e">
        <f t="shared" ca="1" si="33"/>
        <v>#N/A</v>
      </c>
      <c r="AN66" s="248" t="e">
        <f ca="1">SUM($T$27:T66)+SUM($AM$27:AM66)</f>
        <v>#N/A</v>
      </c>
      <c r="AO66" t="e">
        <f t="shared" ca="1" si="30"/>
        <v>#N/A</v>
      </c>
      <c r="AP66" t="e">
        <f ca="1">SUM($AO$27:AO66)</f>
        <v>#N/A</v>
      </c>
      <c r="AQ66" t="e">
        <f t="shared" ca="1" si="20"/>
        <v>#N/A</v>
      </c>
      <c r="AR66" t="e">
        <f t="shared" ca="1" si="47"/>
        <v>#N/A</v>
      </c>
      <c r="AS66" t="e">
        <f t="shared" ca="1" si="34"/>
        <v>#N/A</v>
      </c>
      <c r="AT66" t="e">
        <f t="shared" ca="1" si="35"/>
        <v>#N/A</v>
      </c>
      <c r="AU66" t="e">
        <f t="shared" ca="1" si="23"/>
        <v>#N/A</v>
      </c>
      <c r="AZ66" t="e">
        <f t="shared" ca="1" si="48"/>
        <v>#N/A</v>
      </c>
      <c r="BA66" s="105" t="e">
        <f t="shared" ca="1" si="49"/>
        <v>#N/A</v>
      </c>
    </row>
    <row r="67" spans="2:53" x14ac:dyDescent="0.25">
      <c r="B67" s="105">
        <f>'PEP Impact Model'!B59</f>
        <v>40</v>
      </c>
      <c r="C67">
        <f>'PEP Impact Model'!C59</f>
        <v>41</v>
      </c>
      <c r="D67" s="78" t="e">
        <f ca="1">IF('PEP Impact Model'!$O$80=0,'PEP Impact Model'!J59,'PEP Impact Model'!O59)</f>
        <v>#N/A</v>
      </c>
      <c r="E67" s="78" t="e">
        <f t="shared" ca="1" si="53"/>
        <v>#N/A</v>
      </c>
      <c r="F67" t="e">
        <f t="shared" ca="1" si="50"/>
        <v>#N/A</v>
      </c>
      <c r="G67" t="e">
        <f ca="1">SUM($F$27:F67)</f>
        <v>#N/A</v>
      </c>
      <c r="H67" t="e">
        <f t="shared" si="36"/>
        <v>#N/A</v>
      </c>
      <c r="I67" t="e">
        <f t="shared" ca="1" si="37"/>
        <v>#N/A</v>
      </c>
      <c r="J67" t="e">
        <f ca="1">SUM($I$27:I67)</f>
        <v>#N/A</v>
      </c>
      <c r="K67" t="e">
        <f t="shared" ca="1" si="38"/>
        <v>#N/A</v>
      </c>
      <c r="L67" t="e">
        <f t="shared" ca="1" si="39"/>
        <v>#N/A</v>
      </c>
      <c r="M67" s="888">
        <f t="shared" si="14"/>
        <v>0.5</v>
      </c>
      <c r="N67" s="248" t="e">
        <f t="shared" ca="1" si="15"/>
        <v>#N/A</v>
      </c>
      <c r="O67" s="248" t="e">
        <f t="shared" ca="1" si="16"/>
        <v>#N/A</v>
      </c>
      <c r="P67" s="248" t="e">
        <f t="shared" ca="1" si="29"/>
        <v>#N/A</v>
      </c>
      <c r="Q67" s="244" t="e">
        <f ca="1">SUM($P$27:P67)+SUM($V$27:V67)</f>
        <v>#N/A</v>
      </c>
      <c r="R67" s="244" t="e">
        <f t="shared" ca="1" si="31"/>
        <v>#N/A</v>
      </c>
      <c r="S67" s="248" t="e">
        <f ca="1">SUM($R$27:R67)</f>
        <v>#N/A</v>
      </c>
      <c r="T67" s="244" t="e">
        <f t="shared" ca="1" si="32"/>
        <v>#N/A</v>
      </c>
      <c r="U67" s="244" t="e">
        <f ca="1">SUM($T$27:T67)</f>
        <v>#N/A</v>
      </c>
      <c r="V67" t="e">
        <f t="shared" ca="1" si="51"/>
        <v>#N/A</v>
      </c>
      <c r="W67" s="75" t="e">
        <f ca="1">SUM($V$27:V67)</f>
        <v>#N/A</v>
      </c>
      <c r="X67" s="78" t="e">
        <f t="shared" ca="1" si="40"/>
        <v>#N/A</v>
      </c>
      <c r="Y67" t="e">
        <f t="shared" si="41"/>
        <v>#N/A</v>
      </c>
      <c r="Z67" t="e">
        <f t="shared" ca="1" si="42"/>
        <v>#N/A</v>
      </c>
      <c r="AA67" s="75" t="e">
        <f ca="1">SUM($Z$27:Z67)</f>
        <v>#N/A</v>
      </c>
      <c r="AB67" t="e">
        <f t="shared" ca="1" si="43"/>
        <v>#N/A</v>
      </c>
      <c r="AC67" s="78" t="e">
        <f ca="1">SUM($AB$27:AB67)</f>
        <v>#N/A</v>
      </c>
      <c r="AD67" t="e">
        <f t="shared" ca="1" si="44"/>
        <v>#N/A</v>
      </c>
      <c r="AE67" t="e">
        <f t="shared" ca="1" si="45"/>
        <v>#N/A</v>
      </c>
      <c r="AF67" t="e">
        <f t="shared" ca="1" si="46"/>
        <v>#N/A</v>
      </c>
      <c r="AG67" t="e">
        <f t="shared" ca="1" si="25"/>
        <v>#N/A</v>
      </c>
      <c r="AH67" t="e">
        <f t="shared" ca="1" si="52"/>
        <v>#N/A</v>
      </c>
      <c r="AI67" t="e">
        <f t="shared" ca="1" si="26"/>
        <v>#N/A</v>
      </c>
      <c r="AJ67" t="e">
        <f ca="1">SUM($AI$27:AI67)</f>
        <v>#N/A</v>
      </c>
      <c r="AK67" t="e">
        <f t="shared" ca="1" si="27"/>
        <v>#N/A</v>
      </c>
      <c r="AL67" t="e">
        <f ca="1">SUM($AK$27:AK67)</f>
        <v>#N/A</v>
      </c>
      <c r="AM67" s="244" t="e">
        <f t="shared" ca="1" si="33"/>
        <v>#N/A</v>
      </c>
      <c r="AN67" s="248" t="e">
        <f ca="1">SUM($T$27:T67)+SUM($AM$27:AM67)</f>
        <v>#N/A</v>
      </c>
      <c r="AO67" t="e">
        <f t="shared" ca="1" si="30"/>
        <v>#N/A</v>
      </c>
      <c r="AP67" t="e">
        <f ca="1">SUM($AO$27:AO67)</f>
        <v>#N/A</v>
      </c>
      <c r="AQ67" t="e">
        <f t="shared" ca="1" si="20"/>
        <v>#N/A</v>
      </c>
      <c r="AR67" t="e">
        <f t="shared" ca="1" si="47"/>
        <v>#N/A</v>
      </c>
      <c r="AS67" t="e">
        <f t="shared" ca="1" si="34"/>
        <v>#N/A</v>
      </c>
      <c r="AT67" t="e">
        <f t="shared" ca="1" si="35"/>
        <v>#N/A</v>
      </c>
      <c r="AU67" t="e">
        <f t="shared" ca="1" si="23"/>
        <v>#N/A</v>
      </c>
      <c r="AZ67" t="e">
        <f t="shared" ca="1" si="48"/>
        <v>#N/A</v>
      </c>
      <c r="BA67" s="105" t="e">
        <f t="shared" ca="1" si="49"/>
        <v>#N/A</v>
      </c>
    </row>
    <row r="68" spans="2:53" x14ac:dyDescent="0.25">
      <c r="B68" s="105">
        <f>'PEP Impact Model'!B60</f>
        <v>41</v>
      </c>
      <c r="C68">
        <f>'PEP Impact Model'!C60</f>
        <v>42</v>
      </c>
      <c r="D68" s="78" t="e">
        <f ca="1">IF('PEP Impact Model'!$O$80=0,'PEP Impact Model'!J60,'PEP Impact Model'!O60)</f>
        <v>#N/A</v>
      </c>
      <c r="E68" s="78" t="e">
        <f t="shared" ca="1" si="53"/>
        <v>#N/A</v>
      </c>
      <c r="F68" t="e">
        <f t="shared" ca="1" si="50"/>
        <v>#N/A</v>
      </c>
      <c r="G68" t="e">
        <f ca="1">SUM($F$27:F68)</f>
        <v>#N/A</v>
      </c>
      <c r="H68" t="e">
        <f t="shared" si="36"/>
        <v>#N/A</v>
      </c>
      <c r="I68" t="e">
        <f t="shared" ca="1" si="37"/>
        <v>#N/A</v>
      </c>
      <c r="J68" t="e">
        <f ca="1">SUM($I$27:I68)</f>
        <v>#N/A</v>
      </c>
      <c r="K68" t="e">
        <f t="shared" ca="1" si="38"/>
        <v>#N/A</v>
      </c>
      <c r="L68" t="e">
        <f t="shared" ca="1" si="39"/>
        <v>#N/A</v>
      </c>
      <c r="M68" s="888">
        <f t="shared" si="14"/>
        <v>0.5</v>
      </c>
      <c r="N68" s="248" t="e">
        <f t="shared" ca="1" si="15"/>
        <v>#N/A</v>
      </c>
      <c r="O68" s="248" t="e">
        <f t="shared" ca="1" si="16"/>
        <v>#N/A</v>
      </c>
      <c r="P68" s="248" t="e">
        <f t="shared" ca="1" si="29"/>
        <v>#N/A</v>
      </c>
      <c r="Q68" s="244" t="e">
        <f ca="1">SUM($P$27:P68)+SUM($V$27:V68)</f>
        <v>#N/A</v>
      </c>
      <c r="R68" s="244" t="e">
        <f t="shared" ca="1" si="31"/>
        <v>#N/A</v>
      </c>
      <c r="S68" s="248" t="e">
        <f ca="1">SUM($R$27:R68)</f>
        <v>#N/A</v>
      </c>
      <c r="T68" s="244" t="e">
        <f t="shared" ca="1" si="32"/>
        <v>#N/A</v>
      </c>
      <c r="U68" s="244" t="e">
        <f ca="1">SUM($T$27:T68)</f>
        <v>#N/A</v>
      </c>
      <c r="V68" t="e">
        <f t="shared" ca="1" si="51"/>
        <v>#N/A</v>
      </c>
      <c r="W68" s="75" t="e">
        <f ca="1">SUM($V$27:V68)</f>
        <v>#N/A</v>
      </c>
      <c r="X68" s="78" t="e">
        <f t="shared" ca="1" si="40"/>
        <v>#N/A</v>
      </c>
      <c r="Y68" t="e">
        <f t="shared" si="41"/>
        <v>#N/A</v>
      </c>
      <c r="Z68" t="e">
        <f t="shared" ca="1" si="42"/>
        <v>#N/A</v>
      </c>
      <c r="AA68" s="75" t="e">
        <f ca="1">SUM($Z$27:Z68)</f>
        <v>#N/A</v>
      </c>
      <c r="AB68" t="e">
        <f t="shared" ca="1" si="43"/>
        <v>#N/A</v>
      </c>
      <c r="AC68" s="78" t="e">
        <f ca="1">SUM($AB$27:AB68)</f>
        <v>#N/A</v>
      </c>
      <c r="AD68" t="e">
        <f t="shared" ca="1" si="44"/>
        <v>#N/A</v>
      </c>
      <c r="AE68" t="e">
        <f t="shared" ca="1" si="45"/>
        <v>#N/A</v>
      </c>
      <c r="AF68" t="e">
        <f t="shared" ca="1" si="46"/>
        <v>#N/A</v>
      </c>
      <c r="AG68" t="e">
        <f t="shared" ca="1" si="25"/>
        <v>#N/A</v>
      </c>
      <c r="AH68" t="e">
        <f t="shared" ca="1" si="52"/>
        <v>#N/A</v>
      </c>
      <c r="AI68" t="e">
        <f t="shared" ca="1" si="26"/>
        <v>#N/A</v>
      </c>
      <c r="AJ68" t="e">
        <f ca="1">SUM($AI$27:AI68)</f>
        <v>#N/A</v>
      </c>
      <c r="AK68" t="e">
        <f t="shared" ca="1" si="27"/>
        <v>#N/A</v>
      </c>
      <c r="AL68" t="e">
        <f ca="1">SUM($AK$27:AK68)</f>
        <v>#N/A</v>
      </c>
      <c r="AM68" s="244" t="e">
        <f t="shared" ca="1" si="33"/>
        <v>#N/A</v>
      </c>
      <c r="AN68" s="248" t="e">
        <f ca="1">SUM($T$27:T68)+SUM($AM$27:AM68)</f>
        <v>#N/A</v>
      </c>
      <c r="AO68" t="e">
        <f t="shared" ca="1" si="30"/>
        <v>#N/A</v>
      </c>
      <c r="AP68" t="e">
        <f ca="1">SUM($AO$27:AO68)</f>
        <v>#N/A</v>
      </c>
      <c r="AQ68" t="e">
        <f t="shared" ca="1" si="20"/>
        <v>#N/A</v>
      </c>
      <c r="AR68" t="e">
        <f t="shared" ca="1" si="47"/>
        <v>#N/A</v>
      </c>
      <c r="AS68" t="e">
        <f t="shared" ca="1" si="34"/>
        <v>#N/A</v>
      </c>
      <c r="AT68" t="e">
        <f t="shared" ca="1" si="35"/>
        <v>#N/A</v>
      </c>
      <c r="AU68" t="e">
        <f t="shared" ca="1" si="23"/>
        <v>#N/A</v>
      </c>
      <c r="AZ68" t="e">
        <f t="shared" ca="1" si="48"/>
        <v>#N/A</v>
      </c>
      <c r="BA68" s="105" t="e">
        <f t="shared" ca="1" si="49"/>
        <v>#N/A</v>
      </c>
    </row>
    <row r="69" spans="2:53" x14ac:dyDescent="0.25">
      <c r="B69" s="105">
        <f>'PEP Impact Model'!B61</f>
        <v>42</v>
      </c>
      <c r="C69">
        <f>'PEP Impact Model'!C61</f>
        <v>43</v>
      </c>
      <c r="D69" s="78" t="e">
        <f ca="1">IF('PEP Impact Model'!$O$80=0,'PEP Impact Model'!J61,'PEP Impact Model'!O61)</f>
        <v>#N/A</v>
      </c>
      <c r="E69" s="78" t="e">
        <f t="shared" ca="1" si="53"/>
        <v>#N/A</v>
      </c>
      <c r="F69" t="e">
        <f t="shared" ca="1" si="50"/>
        <v>#N/A</v>
      </c>
      <c r="G69" t="e">
        <f ca="1">SUM($F$27:F69)</f>
        <v>#N/A</v>
      </c>
      <c r="H69" t="e">
        <f t="shared" si="36"/>
        <v>#N/A</v>
      </c>
      <c r="I69" t="e">
        <f t="shared" ca="1" si="37"/>
        <v>#N/A</v>
      </c>
      <c r="J69" t="e">
        <f ca="1">SUM($I$27:I69)</f>
        <v>#N/A</v>
      </c>
      <c r="K69" t="e">
        <f t="shared" ca="1" si="38"/>
        <v>#N/A</v>
      </c>
      <c r="L69" t="e">
        <f t="shared" ca="1" si="39"/>
        <v>#N/A</v>
      </c>
      <c r="M69" s="888">
        <f t="shared" si="14"/>
        <v>0.5</v>
      </c>
      <c r="N69" s="248" t="e">
        <f t="shared" ca="1" si="15"/>
        <v>#N/A</v>
      </c>
      <c r="O69" s="248" t="e">
        <f t="shared" ca="1" si="16"/>
        <v>#N/A</v>
      </c>
      <c r="P69" s="248" t="e">
        <f t="shared" ca="1" si="29"/>
        <v>#N/A</v>
      </c>
      <c r="Q69" s="244" t="e">
        <f ca="1">SUM($P$27:P69)+SUM($V$27:V69)</f>
        <v>#N/A</v>
      </c>
      <c r="R69" s="244" t="e">
        <f t="shared" ca="1" si="31"/>
        <v>#N/A</v>
      </c>
      <c r="S69" s="248" t="e">
        <f ca="1">SUM($R$27:R69)</f>
        <v>#N/A</v>
      </c>
      <c r="T69" s="244" t="e">
        <f t="shared" ca="1" si="32"/>
        <v>#N/A</v>
      </c>
      <c r="U69" s="244" t="e">
        <f ca="1">SUM($T$27:T69)</f>
        <v>#N/A</v>
      </c>
      <c r="V69" t="e">
        <f t="shared" ca="1" si="51"/>
        <v>#N/A</v>
      </c>
      <c r="W69" s="75" t="e">
        <f ca="1">SUM($V$27:V69)</f>
        <v>#N/A</v>
      </c>
      <c r="X69" s="78" t="e">
        <f t="shared" ca="1" si="40"/>
        <v>#N/A</v>
      </c>
      <c r="Y69" t="e">
        <f t="shared" si="41"/>
        <v>#N/A</v>
      </c>
      <c r="Z69" t="e">
        <f t="shared" ca="1" si="42"/>
        <v>#N/A</v>
      </c>
      <c r="AA69" s="75" t="e">
        <f ca="1">SUM($Z$27:Z69)</f>
        <v>#N/A</v>
      </c>
      <c r="AB69" t="e">
        <f t="shared" ca="1" si="43"/>
        <v>#N/A</v>
      </c>
      <c r="AC69" s="78" t="e">
        <f ca="1">SUM($AB$27:AB69)</f>
        <v>#N/A</v>
      </c>
      <c r="AD69" t="e">
        <f t="shared" ca="1" si="44"/>
        <v>#N/A</v>
      </c>
      <c r="AE69" t="e">
        <f t="shared" ca="1" si="45"/>
        <v>#N/A</v>
      </c>
      <c r="AF69" t="e">
        <f t="shared" ca="1" si="46"/>
        <v>#N/A</v>
      </c>
      <c r="AG69" t="e">
        <f t="shared" ca="1" si="25"/>
        <v>#N/A</v>
      </c>
      <c r="AH69" t="e">
        <f t="shared" ca="1" si="52"/>
        <v>#N/A</v>
      </c>
      <c r="AI69" t="e">
        <f t="shared" ca="1" si="26"/>
        <v>#N/A</v>
      </c>
      <c r="AJ69" t="e">
        <f ca="1">SUM($AI$27:AI69)</f>
        <v>#N/A</v>
      </c>
      <c r="AK69" t="e">
        <f t="shared" ca="1" si="27"/>
        <v>#N/A</v>
      </c>
      <c r="AL69" t="e">
        <f ca="1">SUM($AK$27:AK69)</f>
        <v>#N/A</v>
      </c>
      <c r="AM69" s="244" t="e">
        <f t="shared" ca="1" si="33"/>
        <v>#N/A</v>
      </c>
      <c r="AN69" s="248" t="e">
        <f ca="1">SUM($T$27:T69)+SUM($AM$27:AM69)</f>
        <v>#N/A</v>
      </c>
      <c r="AO69" t="e">
        <f t="shared" ca="1" si="30"/>
        <v>#N/A</v>
      </c>
      <c r="AP69" t="e">
        <f ca="1">SUM($AO$27:AO69)</f>
        <v>#N/A</v>
      </c>
      <c r="AQ69" t="e">
        <f t="shared" ca="1" si="20"/>
        <v>#N/A</v>
      </c>
      <c r="AR69" t="e">
        <f t="shared" ca="1" si="47"/>
        <v>#N/A</v>
      </c>
      <c r="AS69" t="e">
        <f t="shared" ca="1" si="34"/>
        <v>#N/A</v>
      </c>
      <c r="AT69" t="e">
        <f t="shared" ca="1" si="35"/>
        <v>#N/A</v>
      </c>
      <c r="AU69" t="e">
        <f t="shared" ca="1" si="23"/>
        <v>#N/A</v>
      </c>
      <c r="AZ69" t="e">
        <f t="shared" ca="1" si="48"/>
        <v>#N/A</v>
      </c>
      <c r="BA69" s="105" t="e">
        <f t="shared" ca="1" si="49"/>
        <v>#N/A</v>
      </c>
    </row>
    <row r="70" spans="2:53" x14ac:dyDescent="0.25">
      <c r="B70" s="105">
        <f>'PEP Impact Model'!B62</f>
        <v>43</v>
      </c>
      <c r="C70">
        <f>'PEP Impact Model'!C62</f>
        <v>44</v>
      </c>
      <c r="D70" s="78" t="e">
        <f ca="1">IF('PEP Impact Model'!$O$80=0,'PEP Impact Model'!J62,'PEP Impact Model'!O62)</f>
        <v>#N/A</v>
      </c>
      <c r="E70" s="78" t="e">
        <f t="shared" ca="1" si="53"/>
        <v>#N/A</v>
      </c>
      <c r="F70" t="e">
        <f t="shared" ca="1" si="50"/>
        <v>#N/A</v>
      </c>
      <c r="G70" t="e">
        <f ca="1">SUM($F$27:F70)</f>
        <v>#N/A</v>
      </c>
      <c r="H70" t="e">
        <f t="shared" si="36"/>
        <v>#N/A</v>
      </c>
      <c r="I70" t="e">
        <f t="shared" ca="1" si="37"/>
        <v>#N/A</v>
      </c>
      <c r="J70" t="e">
        <f ca="1">SUM($I$27:I70)</f>
        <v>#N/A</v>
      </c>
      <c r="K70" t="e">
        <f t="shared" ca="1" si="38"/>
        <v>#N/A</v>
      </c>
      <c r="L70" t="e">
        <f t="shared" ca="1" si="39"/>
        <v>#N/A</v>
      </c>
      <c r="M70" s="888">
        <f t="shared" si="14"/>
        <v>0.5</v>
      </c>
      <c r="N70" s="248" t="e">
        <f t="shared" ca="1" si="15"/>
        <v>#N/A</v>
      </c>
      <c r="O70" s="248" t="e">
        <f t="shared" ca="1" si="16"/>
        <v>#N/A</v>
      </c>
      <c r="P70" s="248" t="e">
        <f t="shared" ca="1" si="29"/>
        <v>#N/A</v>
      </c>
      <c r="Q70" s="244" t="e">
        <f ca="1">SUM($P$27:P70)+SUM($V$27:V70)</f>
        <v>#N/A</v>
      </c>
      <c r="R70" s="244" t="e">
        <f t="shared" ca="1" si="31"/>
        <v>#N/A</v>
      </c>
      <c r="S70" s="248" t="e">
        <f ca="1">SUM($R$27:R70)</f>
        <v>#N/A</v>
      </c>
      <c r="T70" s="244" t="e">
        <f t="shared" ca="1" si="32"/>
        <v>#N/A</v>
      </c>
      <c r="U70" s="244" t="e">
        <f ca="1">SUM($T$27:T70)</f>
        <v>#N/A</v>
      </c>
      <c r="V70" t="e">
        <f t="shared" ca="1" si="51"/>
        <v>#N/A</v>
      </c>
      <c r="W70" s="75" t="e">
        <f ca="1">SUM($V$27:V70)</f>
        <v>#N/A</v>
      </c>
      <c r="X70" s="78" t="e">
        <f t="shared" ca="1" si="40"/>
        <v>#N/A</v>
      </c>
      <c r="Y70" t="e">
        <f t="shared" si="41"/>
        <v>#N/A</v>
      </c>
      <c r="Z70" t="e">
        <f t="shared" ca="1" si="42"/>
        <v>#N/A</v>
      </c>
      <c r="AA70" s="75" t="e">
        <f ca="1">SUM($Z$27:Z70)</f>
        <v>#N/A</v>
      </c>
      <c r="AB70" t="e">
        <f t="shared" ca="1" si="43"/>
        <v>#N/A</v>
      </c>
      <c r="AC70" s="78" t="e">
        <f ca="1">SUM($AB$27:AB70)</f>
        <v>#N/A</v>
      </c>
      <c r="AD70" t="e">
        <f t="shared" ca="1" si="44"/>
        <v>#N/A</v>
      </c>
      <c r="AE70" t="e">
        <f t="shared" ca="1" si="45"/>
        <v>#N/A</v>
      </c>
      <c r="AF70" t="e">
        <f t="shared" ca="1" si="46"/>
        <v>#N/A</v>
      </c>
      <c r="AG70" t="e">
        <f t="shared" ca="1" si="25"/>
        <v>#N/A</v>
      </c>
      <c r="AH70" t="e">
        <f t="shared" ca="1" si="52"/>
        <v>#N/A</v>
      </c>
      <c r="AI70" t="e">
        <f t="shared" ca="1" si="26"/>
        <v>#N/A</v>
      </c>
      <c r="AJ70" t="e">
        <f ca="1">SUM($AI$27:AI70)</f>
        <v>#N/A</v>
      </c>
      <c r="AK70" t="e">
        <f t="shared" ca="1" si="27"/>
        <v>#N/A</v>
      </c>
      <c r="AL70" t="e">
        <f ca="1">SUM($AK$27:AK70)</f>
        <v>#N/A</v>
      </c>
      <c r="AM70" s="244" t="e">
        <f t="shared" ca="1" si="33"/>
        <v>#N/A</v>
      </c>
      <c r="AN70" s="248" t="e">
        <f ca="1">SUM($T$27:T70)+SUM($AM$27:AM70)</f>
        <v>#N/A</v>
      </c>
      <c r="AO70" t="e">
        <f t="shared" ca="1" si="30"/>
        <v>#N/A</v>
      </c>
      <c r="AP70" t="e">
        <f ca="1">SUM($AO$27:AO70)</f>
        <v>#N/A</v>
      </c>
      <c r="AQ70" t="e">
        <f t="shared" ca="1" si="20"/>
        <v>#N/A</v>
      </c>
      <c r="AR70" t="e">
        <f t="shared" ca="1" si="47"/>
        <v>#N/A</v>
      </c>
      <c r="AS70" t="e">
        <f t="shared" ca="1" si="34"/>
        <v>#N/A</v>
      </c>
      <c r="AT70" t="e">
        <f t="shared" ca="1" si="35"/>
        <v>#N/A</v>
      </c>
      <c r="AU70" t="e">
        <f t="shared" ca="1" si="23"/>
        <v>#N/A</v>
      </c>
      <c r="AZ70" t="e">
        <f t="shared" ca="1" si="48"/>
        <v>#N/A</v>
      </c>
      <c r="BA70" s="105" t="e">
        <f t="shared" ca="1" si="49"/>
        <v>#N/A</v>
      </c>
    </row>
    <row r="71" spans="2:53" x14ac:dyDescent="0.25">
      <c r="B71" s="105">
        <f>'PEP Impact Model'!B63</f>
        <v>44</v>
      </c>
      <c r="C71">
        <f>'PEP Impact Model'!C63</f>
        <v>45</v>
      </c>
      <c r="D71" s="78" t="e">
        <f ca="1">IF('PEP Impact Model'!$O$80=0,'PEP Impact Model'!J63,'PEP Impact Model'!O63)</f>
        <v>#N/A</v>
      </c>
      <c r="E71" s="78" t="e">
        <f t="shared" ca="1" si="53"/>
        <v>#N/A</v>
      </c>
      <c r="F71" t="e">
        <f t="shared" ca="1" si="50"/>
        <v>#N/A</v>
      </c>
      <c r="G71" t="e">
        <f ca="1">SUM($F$27:F71)</f>
        <v>#N/A</v>
      </c>
      <c r="H71" t="e">
        <f t="shared" si="36"/>
        <v>#N/A</v>
      </c>
      <c r="I71" t="e">
        <f t="shared" ca="1" si="37"/>
        <v>#N/A</v>
      </c>
      <c r="J71" t="e">
        <f ca="1">SUM($I$27:I71)</f>
        <v>#N/A</v>
      </c>
      <c r="K71" t="e">
        <f t="shared" ca="1" si="38"/>
        <v>#N/A</v>
      </c>
      <c r="L71" t="e">
        <f t="shared" ca="1" si="39"/>
        <v>#N/A</v>
      </c>
      <c r="M71" s="888">
        <f t="shared" si="14"/>
        <v>0.5</v>
      </c>
      <c r="N71" s="248" t="e">
        <f t="shared" ca="1" si="15"/>
        <v>#N/A</v>
      </c>
      <c r="O71" s="248" t="e">
        <f t="shared" ca="1" si="16"/>
        <v>#N/A</v>
      </c>
      <c r="P71" s="248" t="e">
        <f t="shared" ca="1" si="29"/>
        <v>#N/A</v>
      </c>
      <c r="Q71" s="244" t="e">
        <f ca="1">SUM($P$27:P71)+SUM($V$27:V71)</f>
        <v>#N/A</v>
      </c>
      <c r="R71" s="244" t="e">
        <f t="shared" ca="1" si="31"/>
        <v>#N/A</v>
      </c>
      <c r="S71" s="248" t="e">
        <f ca="1">SUM($R$27:R71)</f>
        <v>#N/A</v>
      </c>
      <c r="T71" s="244" t="e">
        <f t="shared" ca="1" si="32"/>
        <v>#N/A</v>
      </c>
      <c r="U71" s="244" t="e">
        <f ca="1">SUM($T$27:T71)</f>
        <v>#N/A</v>
      </c>
      <c r="V71" t="e">
        <f t="shared" ca="1" si="51"/>
        <v>#N/A</v>
      </c>
      <c r="W71" s="75" t="e">
        <f ca="1">SUM($V$27:V71)</f>
        <v>#N/A</v>
      </c>
      <c r="X71" s="78" t="e">
        <f t="shared" ca="1" si="40"/>
        <v>#N/A</v>
      </c>
      <c r="Y71" t="e">
        <f t="shared" si="41"/>
        <v>#N/A</v>
      </c>
      <c r="Z71" t="e">
        <f t="shared" ca="1" si="42"/>
        <v>#N/A</v>
      </c>
      <c r="AA71" s="75" t="e">
        <f ca="1">SUM($Z$27:Z71)</f>
        <v>#N/A</v>
      </c>
      <c r="AB71" t="e">
        <f t="shared" ca="1" si="43"/>
        <v>#N/A</v>
      </c>
      <c r="AC71" s="78" t="e">
        <f ca="1">SUM($AB$27:AB71)</f>
        <v>#N/A</v>
      </c>
      <c r="AD71" t="e">
        <f t="shared" ca="1" si="44"/>
        <v>#N/A</v>
      </c>
      <c r="AE71" t="e">
        <f t="shared" ca="1" si="45"/>
        <v>#N/A</v>
      </c>
      <c r="AF71" t="e">
        <f t="shared" ca="1" si="46"/>
        <v>#N/A</v>
      </c>
      <c r="AG71" t="e">
        <f t="shared" ca="1" si="25"/>
        <v>#N/A</v>
      </c>
      <c r="AH71" t="e">
        <f t="shared" ca="1" si="52"/>
        <v>#N/A</v>
      </c>
      <c r="AI71" t="e">
        <f t="shared" ca="1" si="26"/>
        <v>#N/A</v>
      </c>
      <c r="AJ71" t="e">
        <f ca="1">SUM($AI$27:AI71)</f>
        <v>#N/A</v>
      </c>
      <c r="AK71" t="e">
        <f t="shared" ca="1" si="27"/>
        <v>#N/A</v>
      </c>
      <c r="AL71" t="e">
        <f ca="1">SUM($AK$27:AK71)</f>
        <v>#N/A</v>
      </c>
      <c r="AM71" s="244" t="e">
        <f t="shared" ca="1" si="33"/>
        <v>#N/A</v>
      </c>
      <c r="AN71" s="248" t="e">
        <f ca="1">SUM($T$27:T71)+SUM($AM$27:AM71)</f>
        <v>#N/A</v>
      </c>
      <c r="AO71" t="e">
        <f t="shared" ca="1" si="30"/>
        <v>#N/A</v>
      </c>
      <c r="AP71" t="e">
        <f ca="1">SUM($AO$27:AO71)</f>
        <v>#N/A</v>
      </c>
      <c r="AQ71" t="e">
        <f t="shared" ca="1" si="20"/>
        <v>#N/A</v>
      </c>
      <c r="AR71" t="e">
        <f t="shared" ca="1" si="47"/>
        <v>#N/A</v>
      </c>
      <c r="AS71" t="e">
        <f t="shared" ca="1" si="34"/>
        <v>#N/A</v>
      </c>
      <c r="AT71" t="e">
        <f t="shared" ca="1" si="35"/>
        <v>#N/A</v>
      </c>
      <c r="AU71" t="e">
        <f t="shared" ca="1" si="23"/>
        <v>#N/A</v>
      </c>
      <c r="AZ71" t="e">
        <f t="shared" ca="1" si="48"/>
        <v>#N/A</v>
      </c>
      <c r="BA71" s="105" t="e">
        <f t="shared" ca="1" si="49"/>
        <v>#N/A</v>
      </c>
    </row>
    <row r="72" spans="2:53" x14ac:dyDescent="0.25">
      <c r="B72" s="105">
        <f>'PEP Impact Model'!B64</f>
        <v>45</v>
      </c>
      <c r="C72">
        <f>'PEP Impact Model'!C64</f>
        <v>46</v>
      </c>
      <c r="D72" s="78" t="e">
        <f ca="1">IF('PEP Impact Model'!$O$80=0,'PEP Impact Model'!J64,'PEP Impact Model'!O64)</f>
        <v>#N/A</v>
      </c>
      <c r="E72" s="78" t="e">
        <f t="shared" ca="1" si="53"/>
        <v>#N/A</v>
      </c>
      <c r="F72" t="e">
        <f t="shared" ca="1" si="50"/>
        <v>#N/A</v>
      </c>
      <c r="G72" t="e">
        <f ca="1">SUM($F$27:F72)</f>
        <v>#N/A</v>
      </c>
      <c r="H72" t="e">
        <f t="shared" si="36"/>
        <v>#N/A</v>
      </c>
      <c r="I72" t="e">
        <f t="shared" ca="1" si="37"/>
        <v>#N/A</v>
      </c>
      <c r="J72" t="e">
        <f ca="1">SUM($I$27:I72)</f>
        <v>#N/A</v>
      </c>
      <c r="K72" t="e">
        <f t="shared" ca="1" si="38"/>
        <v>#N/A</v>
      </c>
      <c r="L72" t="e">
        <f t="shared" ca="1" si="39"/>
        <v>#N/A</v>
      </c>
      <c r="M72" s="888">
        <f t="shared" si="14"/>
        <v>0.5</v>
      </c>
      <c r="N72" s="248" t="e">
        <f t="shared" ca="1" si="15"/>
        <v>#N/A</v>
      </c>
      <c r="O72" s="248" t="e">
        <f t="shared" ca="1" si="16"/>
        <v>#N/A</v>
      </c>
      <c r="P72" s="248" t="e">
        <f t="shared" ca="1" si="29"/>
        <v>#N/A</v>
      </c>
      <c r="Q72" s="244" t="e">
        <f ca="1">SUM($P$27:P72)+SUM($V$27:V72)</f>
        <v>#N/A</v>
      </c>
      <c r="R72" s="244" t="e">
        <f t="shared" ca="1" si="31"/>
        <v>#N/A</v>
      </c>
      <c r="S72" s="248" t="e">
        <f ca="1">SUM($R$27:R72)</f>
        <v>#N/A</v>
      </c>
      <c r="T72" s="244" t="e">
        <f t="shared" ca="1" si="32"/>
        <v>#N/A</v>
      </c>
      <c r="U72" s="244" t="e">
        <f ca="1">SUM($T$27:T72)</f>
        <v>#N/A</v>
      </c>
      <c r="V72" t="e">
        <f t="shared" ca="1" si="51"/>
        <v>#N/A</v>
      </c>
      <c r="W72" s="75" t="e">
        <f ca="1">SUM($V$27:V72)</f>
        <v>#N/A</v>
      </c>
      <c r="X72" s="78" t="e">
        <f t="shared" ca="1" si="40"/>
        <v>#N/A</v>
      </c>
      <c r="Y72" t="e">
        <f t="shared" si="41"/>
        <v>#N/A</v>
      </c>
      <c r="Z72" t="e">
        <f t="shared" ca="1" si="42"/>
        <v>#N/A</v>
      </c>
      <c r="AA72" s="75" t="e">
        <f ca="1">SUM($Z$27:Z72)</f>
        <v>#N/A</v>
      </c>
      <c r="AB72" t="e">
        <f t="shared" ca="1" si="43"/>
        <v>#N/A</v>
      </c>
      <c r="AC72" s="78" t="e">
        <f ca="1">SUM($AB$27:AB72)</f>
        <v>#N/A</v>
      </c>
      <c r="AD72" t="e">
        <f t="shared" ca="1" si="44"/>
        <v>#N/A</v>
      </c>
      <c r="AE72" t="e">
        <f t="shared" ca="1" si="45"/>
        <v>#N/A</v>
      </c>
      <c r="AF72" t="e">
        <f t="shared" ca="1" si="46"/>
        <v>#N/A</v>
      </c>
      <c r="AG72" t="e">
        <f t="shared" ca="1" si="25"/>
        <v>#N/A</v>
      </c>
      <c r="AH72" t="e">
        <f t="shared" ca="1" si="52"/>
        <v>#N/A</v>
      </c>
      <c r="AI72" t="e">
        <f t="shared" ca="1" si="26"/>
        <v>#N/A</v>
      </c>
      <c r="AJ72" t="e">
        <f ca="1">SUM($AI$27:AI72)</f>
        <v>#N/A</v>
      </c>
      <c r="AK72" t="e">
        <f t="shared" ca="1" si="27"/>
        <v>#N/A</v>
      </c>
      <c r="AL72" t="e">
        <f ca="1">SUM($AK$27:AK72)</f>
        <v>#N/A</v>
      </c>
      <c r="AM72" s="244" t="e">
        <f t="shared" ca="1" si="33"/>
        <v>#N/A</v>
      </c>
      <c r="AN72" s="248" t="e">
        <f ca="1">SUM($T$27:T72)+SUM($AM$27:AM72)</f>
        <v>#N/A</v>
      </c>
      <c r="AO72" t="e">
        <f t="shared" ca="1" si="30"/>
        <v>#N/A</v>
      </c>
      <c r="AP72" t="e">
        <f ca="1">SUM($AO$27:AO72)</f>
        <v>#N/A</v>
      </c>
      <c r="AQ72" t="e">
        <f t="shared" ca="1" si="20"/>
        <v>#N/A</v>
      </c>
      <c r="AR72" t="e">
        <f t="shared" ca="1" si="47"/>
        <v>#N/A</v>
      </c>
      <c r="AS72" t="e">
        <f t="shared" ca="1" si="34"/>
        <v>#N/A</v>
      </c>
      <c r="AT72" t="e">
        <f t="shared" ca="1" si="35"/>
        <v>#N/A</v>
      </c>
      <c r="AU72" t="e">
        <f t="shared" ca="1" si="23"/>
        <v>#N/A</v>
      </c>
      <c r="AZ72" t="e">
        <f t="shared" ca="1" si="48"/>
        <v>#N/A</v>
      </c>
      <c r="BA72" s="105" t="e">
        <f t="shared" ca="1" si="49"/>
        <v>#N/A</v>
      </c>
    </row>
    <row r="73" spans="2:53" x14ac:dyDescent="0.25">
      <c r="B73" s="105">
        <f>'PEP Impact Model'!B65</f>
        <v>46</v>
      </c>
      <c r="C73">
        <f>'PEP Impact Model'!C65</f>
        <v>47</v>
      </c>
      <c r="D73" s="78" t="e">
        <f ca="1">IF('PEP Impact Model'!$O$80=0,'PEP Impact Model'!J65,'PEP Impact Model'!O65)</f>
        <v>#N/A</v>
      </c>
      <c r="E73" s="78" t="e">
        <f t="shared" ca="1" si="53"/>
        <v>#N/A</v>
      </c>
      <c r="F73" t="e">
        <f t="shared" ca="1" si="50"/>
        <v>#N/A</v>
      </c>
      <c r="G73" t="e">
        <f ca="1">SUM($F$27:F73)</f>
        <v>#N/A</v>
      </c>
      <c r="H73" t="e">
        <f t="shared" si="36"/>
        <v>#N/A</v>
      </c>
      <c r="I73" t="e">
        <f t="shared" ca="1" si="37"/>
        <v>#N/A</v>
      </c>
      <c r="J73" t="e">
        <f ca="1">SUM($I$27:I73)</f>
        <v>#N/A</v>
      </c>
      <c r="K73" t="e">
        <f t="shared" ca="1" si="38"/>
        <v>#N/A</v>
      </c>
      <c r="L73" t="e">
        <f t="shared" ca="1" si="39"/>
        <v>#N/A</v>
      </c>
      <c r="M73" s="888">
        <f t="shared" si="14"/>
        <v>0.5</v>
      </c>
      <c r="N73" s="248" t="e">
        <f t="shared" ca="1" si="15"/>
        <v>#N/A</v>
      </c>
      <c r="O73" s="248" t="e">
        <f t="shared" ca="1" si="16"/>
        <v>#N/A</v>
      </c>
      <c r="P73" s="248" t="e">
        <f t="shared" ca="1" si="29"/>
        <v>#N/A</v>
      </c>
      <c r="Q73" s="244" t="e">
        <f ca="1">SUM($P$27:P73)+SUM($V$27:V73)</f>
        <v>#N/A</v>
      </c>
      <c r="R73" s="244" t="e">
        <f t="shared" ca="1" si="31"/>
        <v>#N/A</v>
      </c>
      <c r="S73" s="248" t="e">
        <f ca="1">SUM($R$27:R73)</f>
        <v>#N/A</v>
      </c>
      <c r="T73" s="244" t="e">
        <f t="shared" ca="1" si="32"/>
        <v>#N/A</v>
      </c>
      <c r="U73" s="244" t="e">
        <f ca="1">SUM($T$27:T73)</f>
        <v>#N/A</v>
      </c>
      <c r="V73" t="e">
        <f t="shared" ca="1" si="51"/>
        <v>#N/A</v>
      </c>
      <c r="W73" s="75" t="e">
        <f ca="1">SUM($V$27:V73)</f>
        <v>#N/A</v>
      </c>
      <c r="X73" s="78" t="e">
        <f t="shared" ca="1" si="40"/>
        <v>#N/A</v>
      </c>
      <c r="Y73" t="e">
        <f t="shared" si="41"/>
        <v>#N/A</v>
      </c>
      <c r="Z73" t="e">
        <f t="shared" ca="1" si="42"/>
        <v>#N/A</v>
      </c>
      <c r="AA73" s="75" t="e">
        <f ca="1">SUM($Z$27:Z73)</f>
        <v>#N/A</v>
      </c>
      <c r="AB73" t="e">
        <f t="shared" ca="1" si="43"/>
        <v>#N/A</v>
      </c>
      <c r="AC73" s="78" t="e">
        <f ca="1">SUM($AB$27:AB73)</f>
        <v>#N/A</v>
      </c>
      <c r="AD73" t="e">
        <f t="shared" ca="1" si="44"/>
        <v>#N/A</v>
      </c>
      <c r="AE73" t="e">
        <f t="shared" ca="1" si="45"/>
        <v>#N/A</v>
      </c>
      <c r="AF73" t="e">
        <f t="shared" ca="1" si="46"/>
        <v>#N/A</v>
      </c>
      <c r="AG73" t="e">
        <f t="shared" ca="1" si="25"/>
        <v>#N/A</v>
      </c>
      <c r="AH73" t="e">
        <f t="shared" ca="1" si="52"/>
        <v>#N/A</v>
      </c>
      <c r="AI73" t="e">
        <f t="shared" ca="1" si="26"/>
        <v>#N/A</v>
      </c>
      <c r="AJ73" t="e">
        <f ca="1">SUM($AI$27:AI73)</f>
        <v>#N/A</v>
      </c>
      <c r="AK73" t="e">
        <f t="shared" ca="1" si="27"/>
        <v>#N/A</v>
      </c>
      <c r="AL73" t="e">
        <f ca="1">SUM($AK$27:AK73)</f>
        <v>#N/A</v>
      </c>
      <c r="AM73" s="244" t="e">
        <f t="shared" ca="1" si="33"/>
        <v>#N/A</v>
      </c>
      <c r="AN73" s="248" t="e">
        <f ca="1">SUM($T$27:T73)+SUM($AM$27:AM73)</f>
        <v>#N/A</v>
      </c>
      <c r="AO73" t="e">
        <f t="shared" ca="1" si="30"/>
        <v>#N/A</v>
      </c>
      <c r="AP73" t="e">
        <f ca="1">SUM($AO$27:AO73)</f>
        <v>#N/A</v>
      </c>
      <c r="AQ73" t="e">
        <f t="shared" ca="1" si="20"/>
        <v>#N/A</v>
      </c>
      <c r="AR73" t="e">
        <f t="shared" ca="1" si="47"/>
        <v>#N/A</v>
      </c>
      <c r="AS73" t="e">
        <f t="shared" ca="1" si="34"/>
        <v>#N/A</v>
      </c>
      <c r="AT73" t="e">
        <f t="shared" ca="1" si="35"/>
        <v>#N/A</v>
      </c>
      <c r="AU73" t="e">
        <f t="shared" ca="1" si="23"/>
        <v>#N/A</v>
      </c>
      <c r="AZ73" t="e">
        <f t="shared" ca="1" si="48"/>
        <v>#N/A</v>
      </c>
      <c r="BA73" s="105" t="e">
        <f t="shared" ca="1" si="49"/>
        <v>#N/A</v>
      </c>
    </row>
    <row r="74" spans="2:53" x14ac:dyDescent="0.25">
      <c r="B74" s="105">
        <f>'PEP Impact Model'!B66</f>
        <v>47</v>
      </c>
      <c r="C74">
        <f>'PEP Impact Model'!C66</f>
        <v>48</v>
      </c>
      <c r="D74" s="78" t="e">
        <f ca="1">IF('PEP Impact Model'!$O$80=0,'PEP Impact Model'!J66,'PEP Impact Model'!O66)</f>
        <v>#N/A</v>
      </c>
      <c r="E74" s="78" t="e">
        <f t="shared" ca="1" si="53"/>
        <v>#N/A</v>
      </c>
      <c r="F74" t="e">
        <f t="shared" ca="1" si="50"/>
        <v>#N/A</v>
      </c>
      <c r="G74" t="e">
        <f ca="1">SUM($F$27:F74)</f>
        <v>#N/A</v>
      </c>
      <c r="H74" t="e">
        <f t="shared" si="36"/>
        <v>#N/A</v>
      </c>
      <c r="I74" t="e">
        <f t="shared" ca="1" si="37"/>
        <v>#N/A</v>
      </c>
      <c r="J74" t="e">
        <f ca="1">SUM($I$27:I74)</f>
        <v>#N/A</v>
      </c>
      <c r="K74" t="e">
        <f t="shared" ca="1" si="38"/>
        <v>#N/A</v>
      </c>
      <c r="L74" t="e">
        <f t="shared" ca="1" si="39"/>
        <v>#N/A</v>
      </c>
      <c r="M74" s="888">
        <f t="shared" si="14"/>
        <v>0.5</v>
      </c>
      <c r="N74" s="248" t="e">
        <f t="shared" ca="1" si="15"/>
        <v>#N/A</v>
      </c>
      <c r="O74" s="248" t="e">
        <f t="shared" ca="1" si="16"/>
        <v>#N/A</v>
      </c>
      <c r="P74" s="248" t="e">
        <f t="shared" ca="1" si="29"/>
        <v>#N/A</v>
      </c>
      <c r="Q74" s="244" t="e">
        <f ca="1">SUM($P$27:P74)+SUM($V$27:V74)</f>
        <v>#N/A</v>
      </c>
      <c r="R74" s="244" t="e">
        <f t="shared" ca="1" si="31"/>
        <v>#N/A</v>
      </c>
      <c r="S74" s="248" t="e">
        <f ca="1">SUM($R$27:R74)</f>
        <v>#N/A</v>
      </c>
      <c r="T74" s="244" t="e">
        <f t="shared" ca="1" si="32"/>
        <v>#N/A</v>
      </c>
      <c r="U74" s="244" t="e">
        <f ca="1">SUM($T$27:T74)</f>
        <v>#N/A</v>
      </c>
      <c r="V74" t="e">
        <f t="shared" ca="1" si="51"/>
        <v>#N/A</v>
      </c>
      <c r="W74" s="75" t="e">
        <f ca="1">SUM($V$27:V74)</f>
        <v>#N/A</v>
      </c>
      <c r="X74" s="78" t="e">
        <f t="shared" ca="1" si="40"/>
        <v>#N/A</v>
      </c>
      <c r="Y74" t="e">
        <f t="shared" si="41"/>
        <v>#N/A</v>
      </c>
      <c r="Z74" t="e">
        <f t="shared" ca="1" si="42"/>
        <v>#N/A</v>
      </c>
      <c r="AA74" s="75" t="e">
        <f ca="1">SUM($Z$27:Z74)</f>
        <v>#N/A</v>
      </c>
      <c r="AB74" t="e">
        <f t="shared" ca="1" si="43"/>
        <v>#N/A</v>
      </c>
      <c r="AC74" s="78" t="e">
        <f ca="1">SUM($AB$27:AB74)</f>
        <v>#N/A</v>
      </c>
      <c r="AD74" t="e">
        <f t="shared" ca="1" si="44"/>
        <v>#N/A</v>
      </c>
      <c r="AE74" t="e">
        <f t="shared" ca="1" si="45"/>
        <v>#N/A</v>
      </c>
      <c r="AF74" t="e">
        <f t="shared" ca="1" si="46"/>
        <v>#N/A</v>
      </c>
      <c r="AG74" t="e">
        <f t="shared" ca="1" si="25"/>
        <v>#N/A</v>
      </c>
      <c r="AH74" t="e">
        <f t="shared" ca="1" si="52"/>
        <v>#N/A</v>
      </c>
      <c r="AI74" t="e">
        <f t="shared" ca="1" si="26"/>
        <v>#N/A</v>
      </c>
      <c r="AJ74" t="e">
        <f ca="1">SUM($AI$27:AI74)</f>
        <v>#N/A</v>
      </c>
      <c r="AK74" t="e">
        <f t="shared" ca="1" si="27"/>
        <v>#N/A</v>
      </c>
      <c r="AL74" t="e">
        <f ca="1">SUM($AK$27:AK74)</f>
        <v>#N/A</v>
      </c>
      <c r="AM74" s="244" t="e">
        <f t="shared" ca="1" si="33"/>
        <v>#N/A</v>
      </c>
      <c r="AN74" s="248" t="e">
        <f ca="1">SUM($T$27:T74)+SUM($AM$27:AM74)</f>
        <v>#N/A</v>
      </c>
      <c r="AO74" t="e">
        <f t="shared" ca="1" si="30"/>
        <v>#N/A</v>
      </c>
      <c r="AP74" t="e">
        <f ca="1">SUM($AO$27:AO74)</f>
        <v>#N/A</v>
      </c>
      <c r="AQ74" t="e">
        <f t="shared" ca="1" si="20"/>
        <v>#N/A</v>
      </c>
      <c r="AR74" t="e">
        <f t="shared" ca="1" si="47"/>
        <v>#N/A</v>
      </c>
      <c r="AS74" t="e">
        <f t="shared" ca="1" si="34"/>
        <v>#N/A</v>
      </c>
      <c r="AT74" t="e">
        <f t="shared" ca="1" si="35"/>
        <v>#N/A</v>
      </c>
      <c r="AU74" t="e">
        <f t="shared" ca="1" si="23"/>
        <v>#N/A</v>
      </c>
      <c r="AZ74" t="e">
        <f t="shared" ca="1" si="48"/>
        <v>#N/A</v>
      </c>
      <c r="BA74" s="105" t="e">
        <f t="shared" ca="1" si="49"/>
        <v>#N/A</v>
      </c>
    </row>
    <row r="75" spans="2:53" x14ac:dyDescent="0.25">
      <c r="B75" s="105">
        <f>'PEP Impact Model'!B67</f>
        <v>48</v>
      </c>
      <c r="C75">
        <f>'PEP Impact Model'!C67</f>
        <v>49</v>
      </c>
      <c r="D75" s="78" t="e">
        <f ca="1">IF('PEP Impact Model'!$O$80=0,'PEP Impact Model'!J67,'PEP Impact Model'!O67)</f>
        <v>#N/A</v>
      </c>
      <c r="E75" s="78" t="e">
        <f t="shared" ca="1" si="53"/>
        <v>#N/A</v>
      </c>
      <c r="F75" t="e">
        <f t="shared" ca="1" si="50"/>
        <v>#N/A</v>
      </c>
      <c r="G75" t="e">
        <f ca="1">SUM($F$27:F75)</f>
        <v>#N/A</v>
      </c>
      <c r="H75" t="e">
        <f t="shared" si="36"/>
        <v>#N/A</v>
      </c>
      <c r="I75" t="e">
        <f t="shared" ca="1" si="37"/>
        <v>#N/A</v>
      </c>
      <c r="J75" t="e">
        <f ca="1">SUM($I$27:I75)</f>
        <v>#N/A</v>
      </c>
      <c r="K75" t="e">
        <f t="shared" ca="1" si="38"/>
        <v>#N/A</v>
      </c>
      <c r="L75" t="e">
        <f t="shared" ca="1" si="39"/>
        <v>#N/A</v>
      </c>
      <c r="M75" s="888">
        <f t="shared" si="14"/>
        <v>0.5</v>
      </c>
      <c r="N75" s="248" t="e">
        <f t="shared" ca="1" si="15"/>
        <v>#N/A</v>
      </c>
      <c r="O75" s="248" t="e">
        <f t="shared" ca="1" si="16"/>
        <v>#N/A</v>
      </c>
      <c r="P75" s="248" t="e">
        <f t="shared" ca="1" si="29"/>
        <v>#N/A</v>
      </c>
      <c r="Q75" s="244" t="e">
        <f ca="1">SUM($P$27:P75)+SUM($V$27:V75)</f>
        <v>#N/A</v>
      </c>
      <c r="R75" s="244" t="e">
        <f t="shared" ca="1" si="31"/>
        <v>#N/A</v>
      </c>
      <c r="S75" s="248" t="e">
        <f ca="1">SUM($R$27:R75)</f>
        <v>#N/A</v>
      </c>
      <c r="T75" s="244" t="e">
        <f t="shared" ca="1" si="32"/>
        <v>#N/A</v>
      </c>
      <c r="U75" s="244" t="e">
        <f ca="1">SUM($T$27:T75)</f>
        <v>#N/A</v>
      </c>
      <c r="V75" t="e">
        <f t="shared" ca="1" si="51"/>
        <v>#N/A</v>
      </c>
      <c r="W75" s="75" t="e">
        <f ca="1">SUM($V$27:V75)</f>
        <v>#N/A</v>
      </c>
      <c r="X75" s="78" t="e">
        <f t="shared" ca="1" si="40"/>
        <v>#N/A</v>
      </c>
      <c r="Y75" t="e">
        <f t="shared" si="41"/>
        <v>#N/A</v>
      </c>
      <c r="Z75" t="e">
        <f t="shared" ca="1" si="42"/>
        <v>#N/A</v>
      </c>
      <c r="AA75" s="75" t="e">
        <f ca="1">SUM($Z$27:Z75)</f>
        <v>#N/A</v>
      </c>
      <c r="AB75" t="e">
        <f t="shared" ca="1" si="43"/>
        <v>#N/A</v>
      </c>
      <c r="AC75" s="78" t="e">
        <f ca="1">SUM($AB$27:AB75)</f>
        <v>#N/A</v>
      </c>
      <c r="AD75" t="e">
        <f t="shared" ca="1" si="44"/>
        <v>#N/A</v>
      </c>
      <c r="AE75" t="e">
        <f t="shared" ca="1" si="45"/>
        <v>#N/A</v>
      </c>
      <c r="AF75" t="e">
        <f t="shared" ca="1" si="46"/>
        <v>#N/A</v>
      </c>
      <c r="AG75" t="e">
        <f t="shared" ca="1" si="25"/>
        <v>#N/A</v>
      </c>
      <c r="AH75" t="e">
        <f t="shared" ca="1" si="52"/>
        <v>#N/A</v>
      </c>
      <c r="AI75" t="e">
        <f t="shared" ca="1" si="26"/>
        <v>#N/A</v>
      </c>
      <c r="AJ75" t="e">
        <f ca="1">SUM($AI$27:AI75)</f>
        <v>#N/A</v>
      </c>
      <c r="AK75" t="e">
        <f t="shared" ca="1" si="27"/>
        <v>#N/A</v>
      </c>
      <c r="AL75" t="e">
        <f ca="1">SUM($AK$27:AK75)</f>
        <v>#N/A</v>
      </c>
      <c r="AM75" s="244" t="e">
        <f t="shared" ca="1" si="33"/>
        <v>#N/A</v>
      </c>
      <c r="AN75" s="248" t="e">
        <f ca="1">SUM($T$27:T75)+SUM($AM$27:AM75)</f>
        <v>#N/A</v>
      </c>
      <c r="AO75" t="e">
        <f t="shared" ca="1" si="30"/>
        <v>#N/A</v>
      </c>
      <c r="AP75" t="e">
        <f ca="1">SUM($AO$27:AO75)</f>
        <v>#N/A</v>
      </c>
      <c r="AQ75" t="e">
        <f t="shared" ca="1" si="20"/>
        <v>#N/A</v>
      </c>
      <c r="AR75" t="e">
        <f t="shared" ca="1" si="47"/>
        <v>#N/A</v>
      </c>
      <c r="AS75" t="e">
        <f t="shared" ca="1" si="34"/>
        <v>#N/A</v>
      </c>
      <c r="AT75" t="e">
        <f t="shared" ca="1" si="35"/>
        <v>#N/A</v>
      </c>
      <c r="AU75" t="e">
        <f t="shared" ca="1" si="23"/>
        <v>#N/A</v>
      </c>
      <c r="AZ75" t="e">
        <f t="shared" ca="1" si="48"/>
        <v>#N/A</v>
      </c>
      <c r="BA75" s="105" t="e">
        <f t="shared" ca="1" si="49"/>
        <v>#N/A</v>
      </c>
    </row>
    <row r="76" spans="2:53" x14ac:dyDescent="0.25">
      <c r="B76" s="105">
        <f>'PEP Impact Model'!B68</f>
        <v>49</v>
      </c>
      <c r="C76">
        <f>'PEP Impact Model'!C68</f>
        <v>50</v>
      </c>
      <c r="D76" s="78" t="e">
        <f ca="1">IF('PEP Impact Model'!$O$80=0,'PEP Impact Model'!J68,'PEP Impact Model'!O68)</f>
        <v>#N/A</v>
      </c>
      <c r="E76" s="78" t="e">
        <f t="shared" ca="1" si="53"/>
        <v>#N/A</v>
      </c>
      <c r="F76" t="e">
        <f t="shared" ca="1" si="50"/>
        <v>#N/A</v>
      </c>
      <c r="G76" t="e">
        <f ca="1">SUM($F$27:F76)</f>
        <v>#N/A</v>
      </c>
      <c r="H76" t="e">
        <f t="shared" si="36"/>
        <v>#N/A</v>
      </c>
      <c r="I76" t="e">
        <f t="shared" ca="1" si="37"/>
        <v>#N/A</v>
      </c>
      <c r="J76" t="e">
        <f ca="1">SUM($I$27:I76)</f>
        <v>#N/A</v>
      </c>
      <c r="K76" t="e">
        <f t="shared" ca="1" si="38"/>
        <v>#N/A</v>
      </c>
      <c r="L76" t="e">
        <f t="shared" ca="1" si="39"/>
        <v>#N/A</v>
      </c>
      <c r="M76" s="888">
        <f t="shared" si="14"/>
        <v>0.5</v>
      </c>
      <c r="N76" s="248" t="e">
        <f t="shared" ca="1" si="15"/>
        <v>#N/A</v>
      </c>
      <c r="O76" s="248" t="e">
        <f t="shared" ca="1" si="16"/>
        <v>#N/A</v>
      </c>
      <c r="P76" s="248" t="e">
        <f t="shared" ca="1" si="29"/>
        <v>#N/A</v>
      </c>
      <c r="Q76" s="244" t="e">
        <f ca="1">SUM($P$27:P76)+SUM($V$27:V76)</f>
        <v>#N/A</v>
      </c>
      <c r="R76" s="244" t="e">
        <f t="shared" ca="1" si="31"/>
        <v>#N/A</v>
      </c>
      <c r="S76" s="248" t="e">
        <f ca="1">SUM($R$27:R76)</f>
        <v>#N/A</v>
      </c>
      <c r="T76" s="244" t="e">
        <f t="shared" ca="1" si="32"/>
        <v>#N/A</v>
      </c>
      <c r="U76" s="244" t="e">
        <f ca="1">SUM($T$27:T76)</f>
        <v>#N/A</v>
      </c>
      <c r="V76" t="e">
        <f t="shared" ca="1" si="51"/>
        <v>#N/A</v>
      </c>
      <c r="W76" s="75" t="e">
        <f ca="1">SUM($V$27:V76)</f>
        <v>#N/A</v>
      </c>
      <c r="X76" s="78" t="e">
        <f t="shared" ca="1" si="40"/>
        <v>#N/A</v>
      </c>
      <c r="Y76" t="e">
        <f t="shared" si="41"/>
        <v>#N/A</v>
      </c>
      <c r="Z76" t="e">
        <f t="shared" ca="1" si="42"/>
        <v>#N/A</v>
      </c>
      <c r="AA76" s="75" t="e">
        <f ca="1">SUM($Z$27:Z76)</f>
        <v>#N/A</v>
      </c>
      <c r="AB76" t="e">
        <f t="shared" ca="1" si="43"/>
        <v>#N/A</v>
      </c>
      <c r="AC76" s="78" t="e">
        <f ca="1">SUM($AB$27:AB76)</f>
        <v>#N/A</v>
      </c>
      <c r="AD76" t="e">
        <f t="shared" ca="1" si="44"/>
        <v>#N/A</v>
      </c>
      <c r="AE76" t="e">
        <f t="shared" ca="1" si="45"/>
        <v>#N/A</v>
      </c>
      <c r="AF76" t="e">
        <f t="shared" ca="1" si="46"/>
        <v>#N/A</v>
      </c>
      <c r="AG76" t="e">
        <f t="shared" ca="1" si="25"/>
        <v>#N/A</v>
      </c>
      <c r="AH76" t="e">
        <f t="shared" ca="1" si="52"/>
        <v>#N/A</v>
      </c>
      <c r="AI76" t="e">
        <f t="shared" ca="1" si="26"/>
        <v>#N/A</v>
      </c>
      <c r="AJ76" t="e">
        <f ca="1">SUM($AI$27:AI76)</f>
        <v>#N/A</v>
      </c>
      <c r="AK76" t="e">
        <f t="shared" ca="1" si="27"/>
        <v>#N/A</v>
      </c>
      <c r="AL76" t="e">
        <f ca="1">SUM($AK$27:AK76)</f>
        <v>#N/A</v>
      </c>
      <c r="AM76" s="244" t="e">
        <f t="shared" ca="1" si="33"/>
        <v>#N/A</v>
      </c>
      <c r="AN76" s="248" t="e">
        <f ca="1">SUM($T$27:T76)+SUM($AM$27:AM76)</f>
        <v>#N/A</v>
      </c>
      <c r="AO76" t="e">
        <f t="shared" ca="1" si="30"/>
        <v>#N/A</v>
      </c>
      <c r="AP76" t="e">
        <f ca="1">SUM($AO$27:AO76)</f>
        <v>#N/A</v>
      </c>
      <c r="AQ76" t="e">
        <f t="shared" ca="1" si="20"/>
        <v>#N/A</v>
      </c>
      <c r="AR76" t="e">
        <f t="shared" ca="1" si="47"/>
        <v>#N/A</v>
      </c>
      <c r="AS76" t="e">
        <f t="shared" ca="1" si="34"/>
        <v>#N/A</v>
      </c>
      <c r="AT76" t="e">
        <f t="shared" ca="1" si="35"/>
        <v>#N/A</v>
      </c>
      <c r="AU76" t="e">
        <f t="shared" ca="1" si="23"/>
        <v>#N/A</v>
      </c>
      <c r="AZ76" t="e">
        <f t="shared" ca="1" si="48"/>
        <v>#N/A</v>
      </c>
      <c r="BA76" s="105" t="e">
        <f t="shared" ca="1" si="49"/>
        <v>#N/A</v>
      </c>
    </row>
    <row r="77" spans="2:53" x14ac:dyDescent="0.25">
      <c r="B77" s="105">
        <f>'PEP Impact Model'!B69</f>
        <v>50</v>
      </c>
      <c r="C77">
        <f>'PEP Impact Model'!C69</f>
        <v>51</v>
      </c>
      <c r="D77" s="78" t="e">
        <f ca="1">IF('PEP Impact Model'!$O$80=0,'PEP Impact Model'!J69,'PEP Impact Model'!O69)</f>
        <v>#N/A</v>
      </c>
      <c r="E77" s="78" t="e">
        <f t="shared" ca="1" si="53"/>
        <v>#N/A</v>
      </c>
      <c r="F77" t="e">
        <f t="shared" ca="1" si="50"/>
        <v>#N/A</v>
      </c>
      <c r="G77" t="e">
        <f ca="1">SUM($F$27:F77)</f>
        <v>#N/A</v>
      </c>
      <c r="H77" t="e">
        <f t="shared" si="36"/>
        <v>#N/A</v>
      </c>
      <c r="I77" t="e">
        <f t="shared" ca="1" si="37"/>
        <v>#N/A</v>
      </c>
      <c r="J77" t="e">
        <f ca="1">SUM($I$27:I77)</f>
        <v>#N/A</v>
      </c>
      <c r="K77" t="e">
        <f t="shared" ca="1" si="38"/>
        <v>#N/A</v>
      </c>
      <c r="L77" t="e">
        <f t="shared" ca="1" si="39"/>
        <v>#N/A</v>
      </c>
      <c r="M77" s="888">
        <f t="shared" si="14"/>
        <v>0.5</v>
      </c>
      <c r="N77" s="248" t="e">
        <f t="shared" ca="1" si="15"/>
        <v>#N/A</v>
      </c>
      <c r="O77" s="248" t="e">
        <f t="shared" ca="1" si="16"/>
        <v>#N/A</v>
      </c>
      <c r="P77" s="248" t="e">
        <f t="shared" ca="1" si="29"/>
        <v>#N/A</v>
      </c>
      <c r="Q77" s="244" t="e">
        <f ca="1">SUM($P$27:P77)+SUM($V$27:V77)</f>
        <v>#N/A</v>
      </c>
      <c r="R77" s="244" t="e">
        <f t="shared" ca="1" si="31"/>
        <v>#N/A</v>
      </c>
      <c r="S77" s="248" t="e">
        <f ca="1">SUM($R$27:R77)</f>
        <v>#N/A</v>
      </c>
      <c r="T77" s="244" t="e">
        <f t="shared" ca="1" si="32"/>
        <v>#N/A</v>
      </c>
      <c r="U77" s="244" t="e">
        <f ca="1">SUM($T$27:T77)</f>
        <v>#N/A</v>
      </c>
      <c r="V77" t="e">
        <f t="shared" ca="1" si="51"/>
        <v>#N/A</v>
      </c>
      <c r="W77" s="75" t="e">
        <f ca="1">SUM($V$27:V77)</f>
        <v>#N/A</v>
      </c>
      <c r="X77" s="78" t="e">
        <f t="shared" ca="1" si="40"/>
        <v>#N/A</v>
      </c>
      <c r="Y77" t="e">
        <f t="shared" si="41"/>
        <v>#N/A</v>
      </c>
      <c r="Z77" t="e">
        <f t="shared" ca="1" si="42"/>
        <v>#N/A</v>
      </c>
      <c r="AA77" s="75" t="e">
        <f ca="1">SUM($Z$27:Z77)</f>
        <v>#N/A</v>
      </c>
      <c r="AB77" t="e">
        <f t="shared" ca="1" si="43"/>
        <v>#N/A</v>
      </c>
      <c r="AC77" s="78" t="e">
        <f ca="1">SUM($AB$27:AB77)</f>
        <v>#N/A</v>
      </c>
      <c r="AD77" t="e">
        <f t="shared" ca="1" si="44"/>
        <v>#N/A</v>
      </c>
      <c r="AE77" t="e">
        <f t="shared" ca="1" si="45"/>
        <v>#N/A</v>
      </c>
      <c r="AF77" t="e">
        <f t="shared" ca="1" si="46"/>
        <v>#N/A</v>
      </c>
      <c r="AG77" t="e">
        <f t="shared" ca="1" si="25"/>
        <v>#N/A</v>
      </c>
      <c r="AH77" t="e">
        <f t="shared" ca="1" si="52"/>
        <v>#N/A</v>
      </c>
      <c r="AI77" t="e">
        <f t="shared" ca="1" si="26"/>
        <v>#N/A</v>
      </c>
      <c r="AJ77" t="e">
        <f ca="1">SUM($AI$27:AI77)</f>
        <v>#N/A</v>
      </c>
      <c r="AK77" t="e">
        <f t="shared" ca="1" si="27"/>
        <v>#N/A</v>
      </c>
      <c r="AL77" t="e">
        <f ca="1">SUM($AK$27:AK77)</f>
        <v>#N/A</v>
      </c>
      <c r="AM77" s="244" t="e">
        <f t="shared" ca="1" si="33"/>
        <v>#N/A</v>
      </c>
      <c r="AN77" s="248" t="e">
        <f ca="1">SUM($T$27:T77)+SUM($AM$27:AM77)</f>
        <v>#N/A</v>
      </c>
      <c r="AO77" t="e">
        <f t="shared" ca="1" si="30"/>
        <v>#N/A</v>
      </c>
      <c r="AP77" t="e">
        <f ca="1">SUM($AO$27:AO77)</f>
        <v>#N/A</v>
      </c>
      <c r="AQ77" t="e">
        <f t="shared" ca="1" si="20"/>
        <v>#N/A</v>
      </c>
      <c r="AR77" t="e">
        <f t="shared" ca="1" si="47"/>
        <v>#N/A</v>
      </c>
      <c r="AS77" t="e">
        <f t="shared" ca="1" si="34"/>
        <v>#N/A</v>
      </c>
      <c r="AT77" t="e">
        <f t="shared" ca="1" si="35"/>
        <v>#N/A</v>
      </c>
      <c r="AU77" t="e">
        <f t="shared" ca="1" si="23"/>
        <v>#N/A</v>
      </c>
      <c r="AZ77" t="e">
        <f t="shared" ca="1" si="48"/>
        <v>#N/A</v>
      </c>
      <c r="BA77" s="105" t="e">
        <f t="shared" ca="1" si="49"/>
        <v>#N/A</v>
      </c>
    </row>
    <row r="78" spans="2:53" x14ac:dyDescent="0.25">
      <c r="B78" s="105">
        <f>'PEP Impact Model'!B70</f>
        <v>51</v>
      </c>
      <c r="C78">
        <f>'PEP Impact Model'!C70</f>
        <v>52</v>
      </c>
      <c r="D78" s="78" t="e">
        <f ca="1">IF('PEP Impact Model'!$O$80=0,'PEP Impact Model'!J70,'PEP Impact Model'!O70)</f>
        <v>#N/A</v>
      </c>
      <c r="E78" s="78" t="e">
        <f t="shared" ca="1" si="53"/>
        <v>#N/A</v>
      </c>
      <c r="F78" t="e">
        <f t="shared" ca="1" si="50"/>
        <v>#N/A</v>
      </c>
      <c r="G78" t="e">
        <f ca="1">SUM($F$27:F78)</f>
        <v>#N/A</v>
      </c>
      <c r="H78" t="e">
        <f t="shared" si="36"/>
        <v>#N/A</v>
      </c>
      <c r="I78" t="e">
        <f t="shared" ca="1" si="37"/>
        <v>#N/A</v>
      </c>
      <c r="J78" t="e">
        <f ca="1">SUM($I$27:I78)</f>
        <v>#N/A</v>
      </c>
      <c r="K78" t="e">
        <f t="shared" ca="1" si="38"/>
        <v>#N/A</v>
      </c>
      <c r="L78" t="e">
        <f t="shared" ca="1" si="39"/>
        <v>#N/A</v>
      </c>
      <c r="M78" s="888">
        <f t="shared" si="14"/>
        <v>0.5</v>
      </c>
      <c r="N78" s="248" t="e">
        <f t="shared" ca="1" si="15"/>
        <v>#N/A</v>
      </c>
      <c r="O78" s="248" t="e">
        <f t="shared" ca="1" si="16"/>
        <v>#N/A</v>
      </c>
      <c r="P78" s="248" t="e">
        <f t="shared" ca="1" si="29"/>
        <v>#N/A</v>
      </c>
      <c r="Q78" s="244" t="e">
        <f ca="1">SUM($P$27:P78)+SUM($V$27:V78)</f>
        <v>#N/A</v>
      </c>
      <c r="R78" s="244" t="e">
        <f t="shared" ca="1" si="31"/>
        <v>#N/A</v>
      </c>
      <c r="S78" s="248" t="e">
        <f ca="1">SUM($R$27:R78)</f>
        <v>#N/A</v>
      </c>
      <c r="T78" s="244" t="e">
        <f t="shared" ca="1" si="32"/>
        <v>#N/A</v>
      </c>
      <c r="U78" s="244" t="e">
        <f ca="1">SUM($T$27:T78)</f>
        <v>#N/A</v>
      </c>
      <c r="V78" t="e">
        <f t="shared" ca="1" si="51"/>
        <v>#N/A</v>
      </c>
      <c r="W78" s="75" t="e">
        <f ca="1">SUM($V$27:V78)</f>
        <v>#N/A</v>
      </c>
      <c r="X78" s="78" t="e">
        <f t="shared" ca="1" si="40"/>
        <v>#N/A</v>
      </c>
      <c r="Y78" t="e">
        <f t="shared" si="41"/>
        <v>#N/A</v>
      </c>
      <c r="Z78" t="e">
        <f t="shared" ca="1" si="42"/>
        <v>#N/A</v>
      </c>
      <c r="AA78" s="75" t="e">
        <f ca="1">SUM($Z$27:Z78)</f>
        <v>#N/A</v>
      </c>
      <c r="AB78" t="e">
        <f t="shared" ca="1" si="43"/>
        <v>#N/A</v>
      </c>
      <c r="AC78" s="78" t="e">
        <f ca="1">SUM($AB$27:AB78)</f>
        <v>#N/A</v>
      </c>
      <c r="AD78" t="e">
        <f t="shared" ca="1" si="44"/>
        <v>#N/A</v>
      </c>
      <c r="AE78" t="e">
        <f t="shared" ca="1" si="45"/>
        <v>#N/A</v>
      </c>
      <c r="AF78" t="e">
        <f t="shared" ca="1" si="46"/>
        <v>#N/A</v>
      </c>
      <c r="AG78" t="e">
        <f t="shared" ca="1" si="25"/>
        <v>#N/A</v>
      </c>
      <c r="AH78" t="e">
        <f t="shared" ca="1" si="52"/>
        <v>#N/A</v>
      </c>
      <c r="AI78" t="e">
        <f t="shared" ca="1" si="26"/>
        <v>#N/A</v>
      </c>
      <c r="AJ78" t="e">
        <f ca="1">SUM($AI$27:AI78)</f>
        <v>#N/A</v>
      </c>
      <c r="AK78" t="e">
        <f t="shared" ca="1" si="27"/>
        <v>#N/A</v>
      </c>
      <c r="AL78" t="e">
        <f ca="1">SUM($AK$27:AK78)</f>
        <v>#N/A</v>
      </c>
      <c r="AM78" s="244" t="e">
        <f t="shared" ca="1" si="33"/>
        <v>#N/A</v>
      </c>
      <c r="AN78" s="248" t="e">
        <f ca="1">SUM($T$27:T78)+SUM($AM$27:AM78)</f>
        <v>#N/A</v>
      </c>
      <c r="AO78" t="e">
        <f t="shared" ca="1" si="30"/>
        <v>#N/A</v>
      </c>
      <c r="AP78" t="e">
        <f ca="1">SUM($AO$27:AO78)</f>
        <v>#N/A</v>
      </c>
      <c r="AQ78" t="e">
        <f t="shared" ca="1" si="20"/>
        <v>#N/A</v>
      </c>
      <c r="AR78" t="e">
        <f t="shared" ca="1" si="47"/>
        <v>#N/A</v>
      </c>
      <c r="AS78" t="e">
        <f t="shared" ca="1" si="34"/>
        <v>#N/A</v>
      </c>
      <c r="AT78" t="e">
        <f t="shared" ca="1" si="35"/>
        <v>#N/A</v>
      </c>
      <c r="AU78" t="e">
        <f t="shared" ca="1" si="23"/>
        <v>#N/A</v>
      </c>
      <c r="AZ78" t="e">
        <f t="shared" ca="1" si="48"/>
        <v>#N/A</v>
      </c>
      <c r="BA78" s="105" t="e">
        <f t="shared" ca="1" si="49"/>
        <v>#N/A</v>
      </c>
    </row>
    <row r="79" spans="2:53" x14ac:dyDescent="0.25">
      <c r="B79" s="105">
        <f>'PEP Impact Model'!B71</f>
        <v>52</v>
      </c>
      <c r="C79">
        <f>'PEP Impact Model'!C71</f>
        <v>53</v>
      </c>
      <c r="D79" s="78" t="e">
        <f ca="1">IF('PEP Impact Model'!$O$80=0,'PEP Impact Model'!J71,'PEP Impact Model'!O71)</f>
        <v>#N/A</v>
      </c>
      <c r="E79" s="78" t="e">
        <f t="shared" ca="1" si="53"/>
        <v>#N/A</v>
      </c>
      <c r="F79" t="e">
        <f t="shared" ca="1" si="50"/>
        <v>#N/A</v>
      </c>
      <c r="G79" t="e">
        <f ca="1">SUM($F$27:F79)</f>
        <v>#N/A</v>
      </c>
      <c r="H79" t="e">
        <f t="shared" si="36"/>
        <v>#N/A</v>
      </c>
      <c r="I79" t="e">
        <f t="shared" ca="1" si="37"/>
        <v>#N/A</v>
      </c>
      <c r="J79" t="e">
        <f ca="1">SUM($I$27:I79)</f>
        <v>#N/A</v>
      </c>
      <c r="K79" t="e">
        <f t="shared" ca="1" si="38"/>
        <v>#N/A</v>
      </c>
      <c r="L79" t="e">
        <f t="shared" ca="1" si="39"/>
        <v>#N/A</v>
      </c>
      <c r="M79" s="888">
        <f t="shared" si="14"/>
        <v>0.5</v>
      </c>
      <c r="N79" s="248" t="e">
        <f t="shared" ca="1" si="15"/>
        <v>#N/A</v>
      </c>
      <c r="O79" s="248" t="e">
        <f t="shared" ca="1" si="16"/>
        <v>#N/A</v>
      </c>
      <c r="P79" s="248" t="e">
        <f t="shared" ca="1" si="29"/>
        <v>#N/A</v>
      </c>
      <c r="Q79" s="244" t="e">
        <f ca="1">SUM($P$27:P79)+SUM($V$27:V79)</f>
        <v>#N/A</v>
      </c>
      <c r="R79" s="244" t="e">
        <f t="shared" ca="1" si="31"/>
        <v>#N/A</v>
      </c>
      <c r="S79" s="248" t="e">
        <f ca="1">SUM($R$27:R79)</f>
        <v>#N/A</v>
      </c>
      <c r="T79" s="244" t="e">
        <f t="shared" ca="1" si="32"/>
        <v>#N/A</v>
      </c>
      <c r="U79" s="244" t="e">
        <f ca="1">SUM($T$27:T79)</f>
        <v>#N/A</v>
      </c>
      <c r="V79" t="e">
        <f t="shared" ca="1" si="51"/>
        <v>#N/A</v>
      </c>
      <c r="W79" s="75" t="e">
        <f ca="1">SUM($V$27:V79)</f>
        <v>#N/A</v>
      </c>
      <c r="X79" s="78" t="e">
        <f t="shared" ca="1" si="40"/>
        <v>#N/A</v>
      </c>
      <c r="Y79" t="e">
        <f t="shared" si="41"/>
        <v>#N/A</v>
      </c>
      <c r="Z79" t="e">
        <f t="shared" ca="1" si="42"/>
        <v>#N/A</v>
      </c>
      <c r="AA79" s="75" t="e">
        <f ca="1">SUM($Z$27:Z79)</f>
        <v>#N/A</v>
      </c>
      <c r="AB79" t="e">
        <f t="shared" ca="1" si="43"/>
        <v>#N/A</v>
      </c>
      <c r="AC79" s="78" t="e">
        <f ca="1">SUM($AB$27:AB79)</f>
        <v>#N/A</v>
      </c>
      <c r="AD79" t="e">
        <f t="shared" ca="1" si="44"/>
        <v>#N/A</v>
      </c>
      <c r="AE79" t="e">
        <f t="shared" ca="1" si="45"/>
        <v>#N/A</v>
      </c>
      <c r="AF79" t="e">
        <f t="shared" ca="1" si="46"/>
        <v>#N/A</v>
      </c>
      <c r="AG79" t="e">
        <f t="shared" ca="1" si="25"/>
        <v>#N/A</v>
      </c>
      <c r="AH79" t="e">
        <f t="shared" ca="1" si="52"/>
        <v>#N/A</v>
      </c>
      <c r="AI79" t="e">
        <f t="shared" ca="1" si="26"/>
        <v>#N/A</v>
      </c>
      <c r="AJ79" t="e">
        <f ca="1">SUM($AI$27:AI79)</f>
        <v>#N/A</v>
      </c>
      <c r="AK79" t="e">
        <f t="shared" ca="1" si="27"/>
        <v>#N/A</v>
      </c>
      <c r="AL79" t="e">
        <f ca="1">SUM($AK$27:AK79)</f>
        <v>#N/A</v>
      </c>
      <c r="AM79" s="244" t="e">
        <f t="shared" ca="1" si="33"/>
        <v>#N/A</v>
      </c>
      <c r="AN79" s="248" t="e">
        <f ca="1">SUM($T$27:T79)+SUM($AM$27:AM79)</f>
        <v>#N/A</v>
      </c>
      <c r="AO79" t="e">
        <f t="shared" ca="1" si="30"/>
        <v>#N/A</v>
      </c>
      <c r="AP79" t="e">
        <f ca="1">SUM($AO$27:AO79)</f>
        <v>#N/A</v>
      </c>
      <c r="AQ79" t="e">
        <f t="shared" ca="1" si="20"/>
        <v>#N/A</v>
      </c>
      <c r="AR79" t="e">
        <f t="shared" ca="1" si="47"/>
        <v>#N/A</v>
      </c>
      <c r="AS79" t="e">
        <f t="shared" ca="1" si="34"/>
        <v>#N/A</v>
      </c>
      <c r="AT79" t="e">
        <f t="shared" ca="1" si="35"/>
        <v>#N/A</v>
      </c>
      <c r="AU79" t="e">
        <f t="shared" ca="1" si="23"/>
        <v>#N/A</v>
      </c>
      <c r="AZ79" t="e">
        <f t="shared" ca="1" si="48"/>
        <v>#N/A</v>
      </c>
      <c r="BA79" s="105" t="e">
        <f t="shared" ca="1" si="49"/>
        <v>#N/A</v>
      </c>
    </row>
    <row r="80" spans="2:53" x14ac:dyDescent="0.25">
      <c r="B80" s="105">
        <f>'PEP Impact Model'!B72</f>
        <v>53</v>
      </c>
      <c r="C80">
        <f>'PEP Impact Model'!C72</f>
        <v>54</v>
      </c>
      <c r="D80" s="78" t="e">
        <f ca="1">IF('PEP Impact Model'!$O$80=0,'PEP Impact Model'!J72,'PEP Impact Model'!O72)</f>
        <v>#N/A</v>
      </c>
      <c r="E80" s="78" t="e">
        <f t="shared" ca="1" si="53"/>
        <v>#N/A</v>
      </c>
      <c r="F80" t="e">
        <f t="shared" ca="1" si="50"/>
        <v>#N/A</v>
      </c>
      <c r="G80" t="e">
        <f ca="1">SUM($F$27:F80)</f>
        <v>#N/A</v>
      </c>
      <c r="H80" t="e">
        <f t="shared" si="36"/>
        <v>#N/A</v>
      </c>
      <c r="I80" t="e">
        <f t="shared" ca="1" si="37"/>
        <v>#N/A</v>
      </c>
      <c r="J80" t="e">
        <f ca="1">SUM($I$27:I80)</f>
        <v>#N/A</v>
      </c>
      <c r="K80" t="e">
        <f t="shared" ca="1" si="38"/>
        <v>#N/A</v>
      </c>
      <c r="L80" t="e">
        <f t="shared" ca="1" si="39"/>
        <v>#N/A</v>
      </c>
      <c r="M80" s="888">
        <f t="shared" si="14"/>
        <v>0.5</v>
      </c>
      <c r="N80" s="248" t="e">
        <f t="shared" ca="1" si="15"/>
        <v>#N/A</v>
      </c>
      <c r="O80" s="248" t="e">
        <f t="shared" ca="1" si="16"/>
        <v>#N/A</v>
      </c>
      <c r="P80" s="248" t="e">
        <f t="shared" ca="1" si="29"/>
        <v>#N/A</v>
      </c>
      <c r="Q80" s="244" t="e">
        <f ca="1">SUM($P$27:P80)+SUM($V$27:V80)</f>
        <v>#N/A</v>
      </c>
      <c r="R80" s="244" t="e">
        <f t="shared" ca="1" si="31"/>
        <v>#N/A</v>
      </c>
      <c r="S80" s="248" t="e">
        <f ca="1">SUM($R$27:R80)</f>
        <v>#N/A</v>
      </c>
      <c r="T80" s="244" t="e">
        <f t="shared" ca="1" si="32"/>
        <v>#N/A</v>
      </c>
      <c r="U80" s="244" t="e">
        <f ca="1">SUM($T$27:T80)</f>
        <v>#N/A</v>
      </c>
      <c r="V80" t="e">
        <f t="shared" ca="1" si="51"/>
        <v>#N/A</v>
      </c>
      <c r="W80" s="75" t="e">
        <f ca="1">SUM($V$27:V80)</f>
        <v>#N/A</v>
      </c>
      <c r="X80" s="78" t="e">
        <f t="shared" ca="1" si="40"/>
        <v>#N/A</v>
      </c>
      <c r="Y80" t="e">
        <f t="shared" si="41"/>
        <v>#N/A</v>
      </c>
      <c r="Z80" t="e">
        <f t="shared" ca="1" si="42"/>
        <v>#N/A</v>
      </c>
      <c r="AA80" s="75" t="e">
        <f ca="1">SUM($Z$27:Z80)</f>
        <v>#N/A</v>
      </c>
      <c r="AB80" t="e">
        <f t="shared" ca="1" si="43"/>
        <v>#N/A</v>
      </c>
      <c r="AC80" s="78" t="e">
        <f ca="1">SUM($AB$27:AB80)</f>
        <v>#N/A</v>
      </c>
      <c r="AD80" t="e">
        <f t="shared" ca="1" si="44"/>
        <v>#N/A</v>
      </c>
      <c r="AE80" t="e">
        <f t="shared" ca="1" si="45"/>
        <v>#N/A</v>
      </c>
      <c r="AF80" t="e">
        <f t="shared" ca="1" si="46"/>
        <v>#N/A</v>
      </c>
      <c r="AG80" t="e">
        <f t="shared" ca="1" si="25"/>
        <v>#N/A</v>
      </c>
      <c r="AH80" t="e">
        <f t="shared" ca="1" si="52"/>
        <v>#N/A</v>
      </c>
      <c r="AI80" t="e">
        <f t="shared" ca="1" si="26"/>
        <v>#N/A</v>
      </c>
      <c r="AJ80" t="e">
        <f ca="1">SUM($AI$27:AI80)</f>
        <v>#N/A</v>
      </c>
      <c r="AK80" t="e">
        <f t="shared" ca="1" si="27"/>
        <v>#N/A</v>
      </c>
      <c r="AL80" t="e">
        <f ca="1">SUM($AK$27:AK80)</f>
        <v>#N/A</v>
      </c>
      <c r="AM80" s="244" t="e">
        <f t="shared" ca="1" si="33"/>
        <v>#N/A</v>
      </c>
      <c r="AN80" s="248" t="e">
        <f ca="1">SUM($T$27:T80)+SUM($AM$27:AM80)</f>
        <v>#N/A</v>
      </c>
      <c r="AO80" t="e">
        <f t="shared" ca="1" si="30"/>
        <v>#N/A</v>
      </c>
      <c r="AP80" t="e">
        <f ca="1">SUM($AO$27:AO80)</f>
        <v>#N/A</v>
      </c>
      <c r="AQ80" t="e">
        <f t="shared" ca="1" si="20"/>
        <v>#N/A</v>
      </c>
      <c r="AR80" t="e">
        <f t="shared" ca="1" si="47"/>
        <v>#N/A</v>
      </c>
      <c r="AS80" t="e">
        <f t="shared" ca="1" si="34"/>
        <v>#N/A</v>
      </c>
      <c r="AT80" t="e">
        <f t="shared" ca="1" si="35"/>
        <v>#N/A</v>
      </c>
      <c r="AU80" t="e">
        <f t="shared" ca="1" si="23"/>
        <v>#N/A</v>
      </c>
      <c r="AZ80" t="e">
        <f t="shared" ca="1" si="48"/>
        <v>#N/A</v>
      </c>
      <c r="BA80" s="105" t="e">
        <f t="shared" ca="1" si="49"/>
        <v>#N/A</v>
      </c>
    </row>
    <row r="81" spans="1:53" x14ac:dyDescent="0.25">
      <c r="B81" s="105">
        <f>'PEP Impact Model'!B73</f>
        <v>54</v>
      </c>
      <c r="C81">
        <f>'PEP Impact Model'!C73</f>
        <v>55</v>
      </c>
      <c r="D81" s="78" t="e">
        <f ca="1">IF('PEP Impact Model'!$O$80=0,'PEP Impact Model'!J73,'PEP Impact Model'!O73)</f>
        <v>#N/A</v>
      </c>
      <c r="E81" s="78" t="e">
        <f t="shared" ca="1" si="53"/>
        <v>#N/A</v>
      </c>
      <c r="F81" t="e">
        <f t="shared" ca="1" si="50"/>
        <v>#N/A</v>
      </c>
      <c r="G81" t="e">
        <f ca="1">SUM($F$27:F81)</f>
        <v>#N/A</v>
      </c>
      <c r="H81" t="e">
        <f t="shared" si="36"/>
        <v>#N/A</v>
      </c>
      <c r="I81" t="e">
        <f t="shared" ca="1" si="37"/>
        <v>#N/A</v>
      </c>
      <c r="J81" t="e">
        <f ca="1">SUM($I$27:I81)</f>
        <v>#N/A</v>
      </c>
      <c r="K81" t="e">
        <f t="shared" ca="1" si="38"/>
        <v>#N/A</v>
      </c>
      <c r="L81" t="e">
        <f t="shared" ca="1" si="39"/>
        <v>#N/A</v>
      </c>
      <c r="M81" s="888">
        <f t="shared" si="14"/>
        <v>0.5</v>
      </c>
      <c r="N81" s="248" t="e">
        <f t="shared" ca="1" si="15"/>
        <v>#N/A</v>
      </c>
      <c r="O81" s="248" t="e">
        <f t="shared" ca="1" si="16"/>
        <v>#N/A</v>
      </c>
      <c r="P81" s="248" t="e">
        <f t="shared" ca="1" si="29"/>
        <v>#N/A</v>
      </c>
      <c r="Q81" s="244" t="e">
        <f ca="1">SUM($P$27:P81)+SUM($V$27:V81)</f>
        <v>#N/A</v>
      </c>
      <c r="R81" s="244" t="e">
        <f t="shared" ca="1" si="31"/>
        <v>#N/A</v>
      </c>
      <c r="S81" s="248" t="e">
        <f ca="1">SUM($R$27:R81)</f>
        <v>#N/A</v>
      </c>
      <c r="T81" s="244" t="e">
        <f t="shared" ca="1" si="32"/>
        <v>#N/A</v>
      </c>
      <c r="U81" s="244" t="e">
        <f ca="1">SUM($T$27:T81)</f>
        <v>#N/A</v>
      </c>
      <c r="V81" t="e">
        <f t="shared" ca="1" si="51"/>
        <v>#N/A</v>
      </c>
      <c r="W81" s="75" t="e">
        <f ca="1">SUM($V$27:V81)</f>
        <v>#N/A</v>
      </c>
      <c r="X81" s="78" t="e">
        <f t="shared" ca="1" si="40"/>
        <v>#N/A</v>
      </c>
      <c r="Y81" t="e">
        <f t="shared" si="41"/>
        <v>#N/A</v>
      </c>
      <c r="Z81" t="e">
        <f t="shared" ca="1" si="42"/>
        <v>#N/A</v>
      </c>
      <c r="AA81" s="75" t="e">
        <f ca="1">SUM($Z$27:Z81)</f>
        <v>#N/A</v>
      </c>
      <c r="AB81" t="e">
        <f t="shared" ca="1" si="43"/>
        <v>#N/A</v>
      </c>
      <c r="AC81" s="78" t="e">
        <f ca="1">SUM($AB$27:AB81)</f>
        <v>#N/A</v>
      </c>
      <c r="AD81" t="e">
        <f t="shared" ca="1" si="44"/>
        <v>#N/A</v>
      </c>
      <c r="AE81" t="e">
        <f t="shared" ca="1" si="45"/>
        <v>#N/A</v>
      </c>
      <c r="AF81" t="e">
        <f t="shared" ca="1" si="46"/>
        <v>#N/A</v>
      </c>
      <c r="AG81" t="e">
        <f t="shared" ca="1" si="25"/>
        <v>#N/A</v>
      </c>
      <c r="AH81" t="e">
        <f t="shared" ca="1" si="52"/>
        <v>#N/A</v>
      </c>
      <c r="AI81" t="e">
        <f t="shared" ca="1" si="26"/>
        <v>#N/A</v>
      </c>
      <c r="AJ81" t="e">
        <f ca="1">SUM($AI$27:AI81)</f>
        <v>#N/A</v>
      </c>
      <c r="AK81" t="e">
        <f t="shared" ca="1" si="27"/>
        <v>#N/A</v>
      </c>
      <c r="AL81" t="e">
        <f ca="1">SUM($AK$27:AK81)</f>
        <v>#N/A</v>
      </c>
      <c r="AM81" s="244" t="e">
        <f t="shared" ca="1" si="33"/>
        <v>#N/A</v>
      </c>
      <c r="AN81" s="248" t="e">
        <f ca="1">SUM($T$27:T81)+SUM($AM$27:AM81)</f>
        <v>#N/A</v>
      </c>
      <c r="AO81" t="e">
        <f t="shared" ca="1" si="30"/>
        <v>#N/A</v>
      </c>
      <c r="AP81" t="e">
        <f ca="1">SUM($AO$27:AO81)</f>
        <v>#N/A</v>
      </c>
      <c r="AQ81" t="e">
        <f t="shared" ca="1" si="20"/>
        <v>#N/A</v>
      </c>
      <c r="AR81" t="e">
        <f t="shared" ca="1" si="47"/>
        <v>#N/A</v>
      </c>
      <c r="AS81" t="e">
        <f t="shared" ca="1" si="34"/>
        <v>#N/A</v>
      </c>
      <c r="AT81" t="e">
        <f t="shared" ca="1" si="35"/>
        <v>#N/A</v>
      </c>
      <c r="AU81" t="e">
        <f t="shared" ca="1" si="23"/>
        <v>#N/A</v>
      </c>
      <c r="AZ81" t="e">
        <f t="shared" ca="1" si="48"/>
        <v>#N/A</v>
      </c>
      <c r="BA81" s="105" t="e">
        <f t="shared" ca="1" si="49"/>
        <v>#N/A</v>
      </c>
    </row>
    <row r="82" spans="1:53" x14ac:dyDescent="0.25">
      <c r="B82" s="105">
        <f>'PEP Impact Model'!B74</f>
        <v>55</v>
      </c>
      <c r="C82">
        <f>'PEP Impact Model'!C74</f>
        <v>56</v>
      </c>
      <c r="D82" s="78" t="e">
        <f ca="1">IF('PEP Impact Model'!$O$80=0,'PEP Impact Model'!J74,'PEP Impact Model'!O74)</f>
        <v>#N/A</v>
      </c>
      <c r="E82" s="78" t="e">
        <f t="shared" ca="1" si="53"/>
        <v>#N/A</v>
      </c>
      <c r="F82" t="e">
        <f t="shared" ca="1" si="50"/>
        <v>#N/A</v>
      </c>
      <c r="G82" t="e">
        <f ca="1">SUM($F$27:F82)</f>
        <v>#N/A</v>
      </c>
      <c r="H82" t="e">
        <f t="shared" si="36"/>
        <v>#N/A</v>
      </c>
      <c r="I82" t="e">
        <f t="shared" ca="1" si="37"/>
        <v>#N/A</v>
      </c>
      <c r="J82" t="e">
        <f ca="1">SUM($I$27:I82)</f>
        <v>#N/A</v>
      </c>
      <c r="K82" t="e">
        <f t="shared" ca="1" si="38"/>
        <v>#N/A</v>
      </c>
      <c r="L82" t="e">
        <f t="shared" ca="1" si="39"/>
        <v>#N/A</v>
      </c>
      <c r="M82" s="888">
        <f t="shared" si="14"/>
        <v>0.5</v>
      </c>
      <c r="N82" s="248" t="e">
        <f t="shared" ca="1" si="15"/>
        <v>#N/A</v>
      </c>
      <c r="O82" s="248" t="e">
        <f t="shared" ca="1" si="16"/>
        <v>#N/A</v>
      </c>
      <c r="P82" s="248" t="e">
        <f t="shared" ca="1" si="29"/>
        <v>#N/A</v>
      </c>
      <c r="Q82" s="244" t="e">
        <f ca="1">SUM($P$27:P82)+SUM($V$27:V82)</f>
        <v>#N/A</v>
      </c>
      <c r="R82" s="244" t="e">
        <f t="shared" ca="1" si="31"/>
        <v>#N/A</v>
      </c>
      <c r="S82" s="248" t="e">
        <f ca="1">SUM($R$27:R82)</f>
        <v>#N/A</v>
      </c>
      <c r="T82" s="244" t="e">
        <f t="shared" ca="1" si="32"/>
        <v>#N/A</v>
      </c>
      <c r="U82" s="244" t="e">
        <f ca="1">SUM($T$27:T82)</f>
        <v>#N/A</v>
      </c>
      <c r="V82" t="e">
        <f t="shared" ca="1" si="51"/>
        <v>#N/A</v>
      </c>
      <c r="W82" s="75" t="e">
        <f ca="1">SUM($V$27:V82)</f>
        <v>#N/A</v>
      </c>
      <c r="X82" s="78" t="e">
        <f t="shared" ca="1" si="40"/>
        <v>#N/A</v>
      </c>
      <c r="Y82" t="e">
        <f t="shared" si="41"/>
        <v>#N/A</v>
      </c>
      <c r="Z82" t="e">
        <f t="shared" ca="1" si="42"/>
        <v>#N/A</v>
      </c>
      <c r="AA82" s="75" t="e">
        <f ca="1">SUM($Z$27:Z82)</f>
        <v>#N/A</v>
      </c>
      <c r="AB82" t="e">
        <f t="shared" ca="1" si="43"/>
        <v>#N/A</v>
      </c>
      <c r="AC82" s="78" t="e">
        <f ca="1">SUM($AB$27:AB82)</f>
        <v>#N/A</v>
      </c>
      <c r="AD82" t="e">
        <f t="shared" ca="1" si="44"/>
        <v>#N/A</v>
      </c>
      <c r="AE82" t="e">
        <f t="shared" ca="1" si="45"/>
        <v>#N/A</v>
      </c>
      <c r="AF82" t="e">
        <f t="shared" ca="1" si="46"/>
        <v>#N/A</v>
      </c>
      <c r="AG82" t="e">
        <f t="shared" ca="1" si="25"/>
        <v>#N/A</v>
      </c>
      <c r="AH82" t="e">
        <f t="shared" ca="1" si="52"/>
        <v>#N/A</v>
      </c>
      <c r="AI82" t="e">
        <f t="shared" ca="1" si="26"/>
        <v>#N/A</v>
      </c>
      <c r="AJ82" t="e">
        <f ca="1">SUM($AI$27:AI82)</f>
        <v>#N/A</v>
      </c>
      <c r="AK82" t="e">
        <f t="shared" ca="1" si="27"/>
        <v>#N/A</v>
      </c>
      <c r="AL82" t="e">
        <f ca="1">SUM($AK$27:AK82)</f>
        <v>#N/A</v>
      </c>
      <c r="AM82" s="244" t="e">
        <f t="shared" ca="1" si="33"/>
        <v>#N/A</v>
      </c>
      <c r="AN82" s="248" t="e">
        <f ca="1">SUM($T$27:T82)+SUM($AM$27:AM82)</f>
        <v>#N/A</v>
      </c>
      <c r="AO82" t="e">
        <f t="shared" ca="1" si="30"/>
        <v>#N/A</v>
      </c>
      <c r="AP82" t="e">
        <f ca="1">SUM($AO$27:AO82)</f>
        <v>#N/A</v>
      </c>
      <c r="AQ82" t="e">
        <f t="shared" ca="1" si="20"/>
        <v>#N/A</v>
      </c>
      <c r="AR82" t="e">
        <f t="shared" ca="1" si="47"/>
        <v>#N/A</v>
      </c>
      <c r="AS82" t="e">
        <f t="shared" ca="1" si="34"/>
        <v>#N/A</v>
      </c>
      <c r="AT82" t="e">
        <f t="shared" ca="1" si="35"/>
        <v>#N/A</v>
      </c>
      <c r="AU82" t="e">
        <f t="shared" ca="1" si="23"/>
        <v>#N/A</v>
      </c>
      <c r="AZ82" t="e">
        <f t="shared" ca="1" si="48"/>
        <v>#N/A</v>
      </c>
      <c r="BA82" s="105" t="e">
        <f t="shared" ca="1" si="49"/>
        <v>#N/A</v>
      </c>
    </row>
    <row r="83" spans="1:53" x14ac:dyDescent="0.25">
      <c r="B83" s="105">
        <f>'PEP Impact Model'!B75</f>
        <v>56</v>
      </c>
      <c r="C83">
        <f>'PEP Impact Model'!C75</f>
        <v>57</v>
      </c>
      <c r="D83" s="78" t="e">
        <f ca="1">IF('PEP Impact Model'!$O$80=0,'PEP Impact Model'!J75,'PEP Impact Model'!O75)</f>
        <v>#N/A</v>
      </c>
      <c r="E83" s="78" t="e">
        <f t="shared" ca="1" si="53"/>
        <v>#N/A</v>
      </c>
      <c r="F83" t="e">
        <f t="shared" ca="1" si="50"/>
        <v>#N/A</v>
      </c>
      <c r="G83" t="e">
        <f ca="1">SUM($F$27:F83)</f>
        <v>#N/A</v>
      </c>
      <c r="H83" t="e">
        <f t="shared" si="36"/>
        <v>#N/A</v>
      </c>
      <c r="I83" t="e">
        <f t="shared" ca="1" si="37"/>
        <v>#N/A</v>
      </c>
      <c r="J83" t="e">
        <f ca="1">SUM($I$27:I83)</f>
        <v>#N/A</v>
      </c>
      <c r="K83" t="e">
        <f t="shared" ca="1" si="38"/>
        <v>#N/A</v>
      </c>
      <c r="L83" t="e">
        <f t="shared" ca="1" si="39"/>
        <v>#N/A</v>
      </c>
      <c r="M83" s="888">
        <f t="shared" si="14"/>
        <v>0.5</v>
      </c>
      <c r="N83" s="248" t="e">
        <f t="shared" ca="1" si="15"/>
        <v>#N/A</v>
      </c>
      <c r="O83" s="248" t="e">
        <f t="shared" ca="1" si="16"/>
        <v>#N/A</v>
      </c>
      <c r="P83" s="248" t="e">
        <f t="shared" ca="1" si="29"/>
        <v>#N/A</v>
      </c>
      <c r="Q83" s="244" t="e">
        <f ca="1">SUM($P$27:P83)+SUM($V$27:V83)</f>
        <v>#N/A</v>
      </c>
      <c r="R83" s="244" t="e">
        <f t="shared" ca="1" si="31"/>
        <v>#N/A</v>
      </c>
      <c r="S83" s="248" t="e">
        <f ca="1">SUM($R$27:R83)</f>
        <v>#N/A</v>
      </c>
      <c r="T83" s="244" t="e">
        <f t="shared" ca="1" si="32"/>
        <v>#N/A</v>
      </c>
      <c r="U83" s="244" t="e">
        <f ca="1">SUM($T$27:T83)</f>
        <v>#N/A</v>
      </c>
      <c r="V83" t="e">
        <f t="shared" ca="1" si="51"/>
        <v>#N/A</v>
      </c>
      <c r="W83" s="75" t="e">
        <f ca="1">SUM($V$27:V83)</f>
        <v>#N/A</v>
      </c>
      <c r="X83" s="78" t="e">
        <f t="shared" ca="1" si="40"/>
        <v>#N/A</v>
      </c>
      <c r="Y83" t="e">
        <f t="shared" si="41"/>
        <v>#N/A</v>
      </c>
      <c r="Z83" t="e">
        <f t="shared" ca="1" si="42"/>
        <v>#N/A</v>
      </c>
      <c r="AA83" s="75" t="e">
        <f ca="1">SUM($Z$27:Z83)</f>
        <v>#N/A</v>
      </c>
      <c r="AB83" t="e">
        <f t="shared" ca="1" si="43"/>
        <v>#N/A</v>
      </c>
      <c r="AC83" s="78" t="e">
        <f ca="1">SUM($AB$27:AB83)</f>
        <v>#N/A</v>
      </c>
      <c r="AD83" t="e">
        <f t="shared" ca="1" si="44"/>
        <v>#N/A</v>
      </c>
      <c r="AE83" t="e">
        <f t="shared" ca="1" si="45"/>
        <v>#N/A</v>
      </c>
      <c r="AF83" t="e">
        <f t="shared" ca="1" si="46"/>
        <v>#N/A</v>
      </c>
      <c r="AG83" t="e">
        <f t="shared" ca="1" si="25"/>
        <v>#N/A</v>
      </c>
      <c r="AH83" t="e">
        <f t="shared" ca="1" si="52"/>
        <v>#N/A</v>
      </c>
      <c r="AI83" t="e">
        <f t="shared" ca="1" si="26"/>
        <v>#N/A</v>
      </c>
      <c r="AJ83" t="e">
        <f ca="1">SUM($AI$27:AI83)</f>
        <v>#N/A</v>
      </c>
      <c r="AK83" t="e">
        <f t="shared" ca="1" si="27"/>
        <v>#N/A</v>
      </c>
      <c r="AL83" t="e">
        <f ca="1">SUM($AK$27:AK83)</f>
        <v>#N/A</v>
      </c>
      <c r="AM83" s="244" t="e">
        <f t="shared" ca="1" si="33"/>
        <v>#N/A</v>
      </c>
      <c r="AN83" s="248" t="e">
        <f ca="1">SUM($T$27:T83)+SUM($AM$27:AM83)</f>
        <v>#N/A</v>
      </c>
      <c r="AO83" t="e">
        <f t="shared" ca="1" si="30"/>
        <v>#N/A</v>
      </c>
      <c r="AP83" t="e">
        <f ca="1">SUM($AO$27:AO83)</f>
        <v>#N/A</v>
      </c>
      <c r="AQ83" t="e">
        <f t="shared" ca="1" si="20"/>
        <v>#N/A</v>
      </c>
      <c r="AR83" t="e">
        <f t="shared" ca="1" si="47"/>
        <v>#N/A</v>
      </c>
      <c r="AS83" t="e">
        <f t="shared" ca="1" si="34"/>
        <v>#N/A</v>
      </c>
      <c r="AT83" t="e">
        <f t="shared" ca="1" si="35"/>
        <v>#N/A</v>
      </c>
      <c r="AU83" t="e">
        <f t="shared" ca="1" si="23"/>
        <v>#N/A</v>
      </c>
      <c r="AZ83" t="e">
        <f t="shared" ca="1" si="48"/>
        <v>#N/A</v>
      </c>
      <c r="BA83" s="105" t="e">
        <f t="shared" ca="1" si="49"/>
        <v>#N/A</v>
      </c>
    </row>
    <row r="84" spans="1:53" x14ac:dyDescent="0.25">
      <c r="B84" s="105">
        <f>'PEP Impact Model'!B76</f>
        <v>57</v>
      </c>
      <c r="C84">
        <f>'PEP Impact Model'!C76</f>
        <v>58</v>
      </c>
      <c r="D84" s="78" t="e">
        <f ca="1">IF('PEP Impact Model'!$O$80=0,'PEP Impact Model'!J76,'PEP Impact Model'!O76)</f>
        <v>#N/A</v>
      </c>
      <c r="E84" s="78" t="e">
        <f t="shared" ca="1" si="53"/>
        <v>#N/A</v>
      </c>
      <c r="F84" t="e">
        <f t="shared" ca="1" si="50"/>
        <v>#N/A</v>
      </c>
      <c r="G84" t="e">
        <f ca="1">SUM($F$27:F84)</f>
        <v>#N/A</v>
      </c>
      <c r="H84" t="e">
        <f t="shared" si="36"/>
        <v>#N/A</v>
      </c>
      <c r="I84" t="e">
        <f t="shared" ca="1" si="37"/>
        <v>#N/A</v>
      </c>
      <c r="J84" t="e">
        <f ca="1">SUM($I$27:I84)</f>
        <v>#N/A</v>
      </c>
      <c r="K84" t="e">
        <f t="shared" ca="1" si="38"/>
        <v>#N/A</v>
      </c>
      <c r="L84" t="e">
        <f t="shared" ca="1" si="39"/>
        <v>#N/A</v>
      </c>
      <c r="M84" s="888">
        <f t="shared" si="14"/>
        <v>0.5</v>
      </c>
      <c r="N84" s="248" t="e">
        <f t="shared" ca="1" si="15"/>
        <v>#N/A</v>
      </c>
      <c r="O84" s="248" t="e">
        <f t="shared" ca="1" si="16"/>
        <v>#N/A</v>
      </c>
      <c r="P84" s="248" t="e">
        <f t="shared" ca="1" si="29"/>
        <v>#N/A</v>
      </c>
      <c r="Q84" s="244" t="e">
        <f ca="1">SUM($P$27:P84)+SUM($V$27:V84)</f>
        <v>#N/A</v>
      </c>
      <c r="R84" s="244" t="e">
        <f t="shared" ref="R84:R106" ca="1" si="54">ROUND((O59*$AX$46)+(O60*$AX$45)+(O61*$AX$44)+(O62*$AX$43)+(O63*$AX$42)+(O64*$AX$41)+(O65*$AX$40)+(O66*$AX$39)+(O67*$AX$38)+(O68*$AX$37)+(O69*$AX$36)+(O70*$AX$35)+(O71*$AX$34)+(O72*$AX$33)+(O73*$AX$32)+(O74*$AX$31)+(O75*$AX$30)+(O76*$AX$29)+(O77*$AX$28)+(O78*$AX$27),0)</f>
        <v>#N/A</v>
      </c>
      <c r="S84" s="248" t="e">
        <f ca="1">SUM($R$27:R84)</f>
        <v>#N/A</v>
      </c>
      <c r="T84" s="244" t="e">
        <f t="shared" ref="T84:T106" ca="1" si="55">ROUND((P59*$AX$46)+(P60*$AX$45)+(P61*$AX$44)+(P62*$AX$43)+(P63*$AX$42)+(P64*$AX$41)+(P65*$AX$40)+(P66*$AX$39)+(P67*$AX$38)+(P68*$AX$37)+(P69*$AX$36)+(P70*$AX$35)+(P71*$AX$34)+(P72*$AX$33)+(P73*$AX$32)+(P74*$AX$31)+(P75*$AX$30)+(P76*$AX$29)+(P77*$AX$28)+(P78*$AX$27),0)</f>
        <v>#N/A</v>
      </c>
      <c r="U84" s="244" t="e">
        <f ca="1">SUM($T$27:T84)</f>
        <v>#N/A</v>
      </c>
      <c r="V84" t="e">
        <f t="shared" ca="1" si="51"/>
        <v>#N/A</v>
      </c>
      <c r="W84" s="75" t="e">
        <f ca="1">SUM($V$27:V84)</f>
        <v>#N/A</v>
      </c>
      <c r="X84" s="78" t="e">
        <f t="shared" ca="1" si="40"/>
        <v>#N/A</v>
      </c>
      <c r="Y84" t="e">
        <f t="shared" si="41"/>
        <v>#N/A</v>
      </c>
      <c r="Z84" t="e">
        <f t="shared" ca="1" si="42"/>
        <v>#N/A</v>
      </c>
      <c r="AA84" s="75" t="e">
        <f ca="1">SUM($Z$27:Z84)</f>
        <v>#N/A</v>
      </c>
      <c r="AB84" t="e">
        <f t="shared" ca="1" si="43"/>
        <v>#N/A</v>
      </c>
      <c r="AC84" s="78" t="e">
        <f ca="1">SUM($AB$27:AB84)</f>
        <v>#N/A</v>
      </c>
      <c r="AD84" t="e">
        <f t="shared" ca="1" si="44"/>
        <v>#N/A</v>
      </c>
      <c r="AE84" t="e">
        <f t="shared" ca="1" si="45"/>
        <v>#N/A</v>
      </c>
      <c r="AF84" t="e">
        <f t="shared" ca="1" si="46"/>
        <v>#N/A</v>
      </c>
      <c r="AG84" t="e">
        <f t="shared" ca="1" si="25"/>
        <v>#N/A</v>
      </c>
      <c r="AH84" t="e">
        <f t="shared" ca="1" si="52"/>
        <v>#N/A</v>
      </c>
      <c r="AI84" t="e">
        <f t="shared" ca="1" si="26"/>
        <v>#N/A</v>
      </c>
      <c r="AJ84" t="e">
        <f ca="1">SUM($AI$27:AI84)</f>
        <v>#N/A</v>
      </c>
      <c r="AK84" t="e">
        <f t="shared" ca="1" si="27"/>
        <v>#N/A</v>
      </c>
      <c r="AL84" t="e">
        <f ca="1">SUM($AK$27:AK84)</f>
        <v>#N/A</v>
      </c>
      <c r="AM84" s="244" t="e">
        <f t="shared" ref="AM84:AM106" ca="1" si="56">ROUND((AE59*$AX$46)+(AE60*$AX$45)+(AE61*$AX$44)+(AE62*$AX$43)+(AE63*$AX$42)+(AE64*$AX$41)+(AE65*$AX$40)+(AE66*$AX$39)+(AE67*$AX$38)+(AE68*$AX$37)+(AE69*$AX$36)+(AE70*$AX$35)+(AE71*$AX$34)+(AE72*$AX$33)+(AE73*$AX$32)+(AE74*$AX$31)+(AE75*$AX$30)+(AE76*$AX$29)+(AE77*$AX$28)+(AE78*$AX$27),0)</f>
        <v>#N/A</v>
      </c>
      <c r="AN84" s="248" t="e">
        <f ca="1">SUM($T$27:T84)+SUM($AM$27:AM84)</f>
        <v>#N/A</v>
      </c>
      <c r="AO84" t="e">
        <f t="shared" ca="1" si="30"/>
        <v>#N/A</v>
      </c>
      <c r="AP84" t="e">
        <f ca="1">SUM($AO$27:AO84)</f>
        <v>#N/A</v>
      </c>
      <c r="AQ84" t="e">
        <f t="shared" ca="1" si="20"/>
        <v>#N/A</v>
      </c>
      <c r="AR84" t="e">
        <f t="shared" ca="1" si="47"/>
        <v>#N/A</v>
      </c>
      <c r="AS84" t="e">
        <f t="shared" ca="1" si="34"/>
        <v>#N/A</v>
      </c>
      <c r="AT84" t="e">
        <f t="shared" ca="1" si="35"/>
        <v>#N/A</v>
      </c>
      <c r="AU84" t="e">
        <f t="shared" ca="1" si="23"/>
        <v>#N/A</v>
      </c>
      <c r="AZ84" t="e">
        <f t="shared" ca="1" si="48"/>
        <v>#N/A</v>
      </c>
      <c r="BA84" s="105" t="e">
        <f t="shared" ca="1" si="49"/>
        <v>#N/A</v>
      </c>
    </row>
    <row r="85" spans="1:53" x14ac:dyDescent="0.25">
      <c r="B85" s="105">
        <f>'PEP Impact Model'!B77</f>
        <v>58</v>
      </c>
      <c r="C85">
        <f>'PEP Impact Model'!C77</f>
        <v>59</v>
      </c>
      <c r="D85" s="78" t="e">
        <f ca="1">IF('PEP Impact Model'!$O$80=0,'PEP Impact Model'!J77,'PEP Impact Model'!O77)</f>
        <v>#N/A</v>
      </c>
      <c r="E85" s="78" t="e">
        <f t="shared" ca="1" si="53"/>
        <v>#N/A</v>
      </c>
      <c r="F85" t="e">
        <f t="shared" ca="1" si="50"/>
        <v>#N/A</v>
      </c>
      <c r="G85" t="e">
        <f ca="1">SUM($F$27:F85)</f>
        <v>#N/A</v>
      </c>
      <c r="H85" t="e">
        <f t="shared" si="36"/>
        <v>#N/A</v>
      </c>
      <c r="I85" t="e">
        <f t="shared" ca="1" si="37"/>
        <v>#N/A</v>
      </c>
      <c r="J85" t="e">
        <f ca="1">SUM($I$27:I85)</f>
        <v>#N/A</v>
      </c>
      <c r="K85" t="e">
        <f t="shared" ca="1" si="38"/>
        <v>#N/A</v>
      </c>
      <c r="L85" t="e">
        <f t="shared" ca="1" si="39"/>
        <v>#N/A</v>
      </c>
      <c r="M85" s="888">
        <f t="shared" si="14"/>
        <v>0.5</v>
      </c>
      <c r="N85" s="248" t="e">
        <f t="shared" ca="1" si="15"/>
        <v>#N/A</v>
      </c>
      <c r="O85" s="248" t="e">
        <f t="shared" ca="1" si="16"/>
        <v>#N/A</v>
      </c>
      <c r="P85" s="248" t="e">
        <f t="shared" ca="1" si="29"/>
        <v>#N/A</v>
      </c>
      <c r="Q85" s="244" t="e">
        <f ca="1">SUM($P$27:P85)+SUM($V$27:V85)</f>
        <v>#N/A</v>
      </c>
      <c r="R85" s="244" t="e">
        <f t="shared" ca="1" si="54"/>
        <v>#N/A</v>
      </c>
      <c r="S85" s="248" t="e">
        <f ca="1">SUM($R$27:R85)</f>
        <v>#N/A</v>
      </c>
      <c r="T85" s="244" t="e">
        <f t="shared" ca="1" si="55"/>
        <v>#N/A</v>
      </c>
      <c r="U85" s="244" t="e">
        <f ca="1">SUM($T$27:T85)</f>
        <v>#N/A</v>
      </c>
      <c r="V85" t="e">
        <f t="shared" ca="1" si="51"/>
        <v>#N/A</v>
      </c>
      <c r="W85" s="75" t="e">
        <f ca="1">SUM($V$27:V85)</f>
        <v>#N/A</v>
      </c>
      <c r="X85" s="78" t="e">
        <f t="shared" ca="1" si="40"/>
        <v>#N/A</v>
      </c>
      <c r="Y85" t="e">
        <f t="shared" si="41"/>
        <v>#N/A</v>
      </c>
      <c r="Z85" t="e">
        <f t="shared" ca="1" si="42"/>
        <v>#N/A</v>
      </c>
      <c r="AA85" s="75" t="e">
        <f ca="1">SUM($Z$27:Z85)</f>
        <v>#N/A</v>
      </c>
      <c r="AB85" t="e">
        <f t="shared" ca="1" si="43"/>
        <v>#N/A</v>
      </c>
      <c r="AC85" s="78" t="e">
        <f ca="1">SUM($AB$27:AB85)</f>
        <v>#N/A</v>
      </c>
      <c r="AD85" t="e">
        <f t="shared" ca="1" si="44"/>
        <v>#N/A</v>
      </c>
      <c r="AE85" t="e">
        <f t="shared" ca="1" si="45"/>
        <v>#N/A</v>
      </c>
      <c r="AF85" t="e">
        <f t="shared" ca="1" si="46"/>
        <v>#N/A</v>
      </c>
      <c r="AG85" t="e">
        <f t="shared" ca="1" si="25"/>
        <v>#N/A</v>
      </c>
      <c r="AH85" t="e">
        <f t="shared" ca="1" si="52"/>
        <v>#N/A</v>
      </c>
      <c r="AI85" t="e">
        <f t="shared" ca="1" si="26"/>
        <v>#N/A</v>
      </c>
      <c r="AJ85" t="e">
        <f ca="1">SUM($AI$27:AI85)</f>
        <v>#N/A</v>
      </c>
      <c r="AK85" t="e">
        <f t="shared" ca="1" si="27"/>
        <v>#N/A</v>
      </c>
      <c r="AL85" t="e">
        <f ca="1">SUM($AK$27:AK85)</f>
        <v>#N/A</v>
      </c>
      <c r="AM85" s="244" t="e">
        <f t="shared" ca="1" si="56"/>
        <v>#N/A</v>
      </c>
      <c r="AN85" s="248" t="e">
        <f ca="1">SUM($T$27:T85)+SUM($AM$27:AM85)</f>
        <v>#N/A</v>
      </c>
      <c r="AO85" t="e">
        <f t="shared" ca="1" si="30"/>
        <v>#N/A</v>
      </c>
      <c r="AP85" t="e">
        <f ca="1">SUM($AO$27:AO85)</f>
        <v>#N/A</v>
      </c>
      <c r="AQ85" t="e">
        <f t="shared" ca="1" si="20"/>
        <v>#N/A</v>
      </c>
      <c r="AR85" t="e">
        <f t="shared" ca="1" si="47"/>
        <v>#N/A</v>
      </c>
      <c r="AS85" t="e">
        <f t="shared" ca="1" si="34"/>
        <v>#N/A</v>
      </c>
      <c r="AT85" t="e">
        <f t="shared" ca="1" si="35"/>
        <v>#N/A</v>
      </c>
      <c r="AU85" t="e">
        <f t="shared" ca="1" si="23"/>
        <v>#N/A</v>
      </c>
      <c r="AZ85" t="e">
        <f t="shared" ca="1" si="48"/>
        <v>#N/A</v>
      </c>
      <c r="BA85" s="105" t="e">
        <f t="shared" ca="1" si="49"/>
        <v>#N/A</v>
      </c>
    </row>
    <row r="86" spans="1:53" x14ac:dyDescent="0.25">
      <c r="B86" s="382">
        <f>'PEP Impact Model'!B78</f>
        <v>59</v>
      </c>
      <c r="C86" s="381">
        <f>'PEP Impact Model'!C78</f>
        <v>60</v>
      </c>
      <c r="D86" s="78" t="e">
        <f ca="1">IF('PEP Impact Model'!$O$80=0,'PEP Impact Model'!J78,'PEP Impact Model'!O78)</f>
        <v>#N/A</v>
      </c>
      <c r="E86" s="78" t="e">
        <f t="shared" ca="1" si="53"/>
        <v>#N/A</v>
      </c>
      <c r="F86" t="e">
        <f t="shared" ca="1" si="50"/>
        <v>#N/A</v>
      </c>
      <c r="G86" s="389" t="e">
        <f ca="1">SUM($F$27:F86)</f>
        <v>#N/A</v>
      </c>
      <c r="H86" s="389" t="e">
        <f t="shared" si="36"/>
        <v>#N/A</v>
      </c>
      <c r="I86" t="e">
        <f t="shared" ca="1" si="37"/>
        <v>#N/A</v>
      </c>
      <c r="J86" s="389" t="e">
        <f ca="1">SUM($I$27:I86)</f>
        <v>#N/A</v>
      </c>
      <c r="K86" s="389" t="e">
        <f t="shared" ca="1" si="38"/>
        <v>#N/A</v>
      </c>
      <c r="L86" t="e">
        <f t="shared" ca="1" si="39"/>
        <v>#N/A</v>
      </c>
      <c r="M86" s="888">
        <f t="shared" si="14"/>
        <v>0.5</v>
      </c>
      <c r="N86" s="248" t="e">
        <f t="shared" ca="1" si="15"/>
        <v>#N/A</v>
      </c>
      <c r="O86" s="248" t="e">
        <f t="shared" ca="1" si="16"/>
        <v>#N/A</v>
      </c>
      <c r="P86" s="248" t="e">
        <f t="shared" ca="1" si="29"/>
        <v>#N/A</v>
      </c>
      <c r="Q86" s="244" t="e">
        <f ca="1">SUM($P$27:P86)+SUM($V$27:V86)</f>
        <v>#N/A</v>
      </c>
      <c r="R86" s="244" t="e">
        <f t="shared" ca="1" si="54"/>
        <v>#N/A</v>
      </c>
      <c r="S86" s="248" t="e">
        <f ca="1">SUM($R$27:R86)</f>
        <v>#N/A</v>
      </c>
      <c r="T86" s="244" t="e">
        <f t="shared" ca="1" si="55"/>
        <v>#N/A</v>
      </c>
      <c r="U86" s="244" t="e">
        <f ca="1">SUM($T$27:T86)</f>
        <v>#N/A</v>
      </c>
      <c r="V86" s="389" t="e">
        <f t="shared" ca="1" si="51"/>
        <v>#N/A</v>
      </c>
      <c r="W86" s="75" t="e">
        <f ca="1">SUM($V$27:V86)</f>
        <v>#N/A</v>
      </c>
      <c r="X86" s="388" t="e">
        <f t="shared" ca="1" si="40"/>
        <v>#N/A</v>
      </c>
      <c r="Y86" s="389" t="e">
        <f t="shared" si="41"/>
        <v>#N/A</v>
      </c>
      <c r="Z86" s="389" t="e">
        <f t="shared" ca="1" si="42"/>
        <v>#N/A</v>
      </c>
      <c r="AA86" s="75" t="e">
        <f ca="1">SUM($Z$27:Z86)</f>
        <v>#N/A</v>
      </c>
      <c r="AB86" t="e">
        <f t="shared" ca="1" si="43"/>
        <v>#N/A</v>
      </c>
      <c r="AC86" s="78" t="e">
        <f ca="1">SUM($AB$27:AB86)</f>
        <v>#N/A</v>
      </c>
      <c r="AD86" s="389" t="e">
        <f t="shared" ca="1" si="44"/>
        <v>#N/A</v>
      </c>
      <c r="AE86" s="389" t="e">
        <f t="shared" ca="1" si="45"/>
        <v>#N/A</v>
      </c>
      <c r="AF86" t="e">
        <f t="shared" ca="1" si="46"/>
        <v>#N/A</v>
      </c>
      <c r="AG86" s="389" t="e">
        <f t="shared" ca="1" si="25"/>
        <v>#N/A</v>
      </c>
      <c r="AH86" s="389" t="e">
        <f t="shared" ca="1" si="52"/>
        <v>#N/A</v>
      </c>
      <c r="AI86" s="389" t="e">
        <f t="shared" ca="1" si="26"/>
        <v>#N/A</v>
      </c>
      <c r="AJ86" t="e">
        <f ca="1">SUM($AI$27:AI86)</f>
        <v>#N/A</v>
      </c>
      <c r="AK86" s="389" t="e">
        <f t="shared" ca="1" si="27"/>
        <v>#N/A</v>
      </c>
      <c r="AL86" t="e">
        <f ca="1">SUM($AK$27:AK86)</f>
        <v>#N/A</v>
      </c>
      <c r="AM86" s="406" t="e">
        <f t="shared" ca="1" si="56"/>
        <v>#N/A</v>
      </c>
      <c r="AN86" s="248" t="e">
        <f ca="1">SUM($T$27:T86)+SUM($AM$27:AM86)</f>
        <v>#N/A</v>
      </c>
      <c r="AO86" t="e">
        <f t="shared" ca="1" si="30"/>
        <v>#N/A</v>
      </c>
      <c r="AP86" t="e">
        <f ca="1">SUM($AO$27:AO86)</f>
        <v>#N/A</v>
      </c>
      <c r="AQ86" t="e">
        <f t="shared" ca="1" si="20"/>
        <v>#N/A</v>
      </c>
      <c r="AR86" t="e">
        <f t="shared" ca="1" si="47"/>
        <v>#N/A</v>
      </c>
      <c r="AS86" t="e">
        <f t="shared" ca="1" si="34"/>
        <v>#N/A</v>
      </c>
      <c r="AT86" t="e">
        <f t="shared" ca="1" si="35"/>
        <v>#N/A</v>
      </c>
      <c r="AU86" t="e">
        <f t="shared" ca="1" si="23"/>
        <v>#N/A</v>
      </c>
      <c r="AZ86" t="e">
        <f t="shared" ca="1" si="48"/>
        <v>#N/A</v>
      </c>
      <c r="BA86" s="105" t="e">
        <f t="shared" ca="1" si="49"/>
        <v>#N/A</v>
      </c>
    </row>
    <row r="87" spans="1:53" x14ac:dyDescent="0.25">
      <c r="A87" s="304"/>
      <c r="B87" s="105">
        <f>B86+1</f>
        <v>60</v>
      </c>
      <c r="C87">
        <f>C86+1</f>
        <v>61</v>
      </c>
      <c r="D87" s="78"/>
      <c r="E87" s="78" t="e">
        <f t="shared" ca="1" si="53"/>
        <v>#N/A</v>
      </c>
      <c r="F87" t="e">
        <f t="shared" ca="1" si="50"/>
        <v>#N/A</v>
      </c>
      <c r="G87" t="e">
        <f ca="1">SUM($F$27:F87)</f>
        <v>#N/A</v>
      </c>
      <c r="H87" t="e">
        <f t="shared" si="36"/>
        <v>#N/A</v>
      </c>
      <c r="I87" t="e">
        <f t="shared" ca="1" si="37"/>
        <v>#N/A</v>
      </c>
      <c r="J87" t="e">
        <f ca="1">SUM($I$27:I87)</f>
        <v>#N/A</v>
      </c>
      <c r="K87" t="e">
        <f t="shared" ca="1" si="38"/>
        <v>#N/A</v>
      </c>
      <c r="L87" t="e">
        <f t="shared" ca="1" si="39"/>
        <v>#N/A</v>
      </c>
      <c r="M87" s="888">
        <f t="shared" si="14"/>
        <v>0.5</v>
      </c>
      <c r="N87" s="248" t="e">
        <f t="shared" ca="1" si="15"/>
        <v>#N/A</v>
      </c>
      <c r="O87" s="248" t="e">
        <f t="shared" ca="1" si="16"/>
        <v>#N/A</v>
      </c>
      <c r="P87" s="248" t="e">
        <f t="shared" ca="1" si="29"/>
        <v>#N/A</v>
      </c>
      <c r="Q87" s="244" t="e">
        <f ca="1">SUM($P$27:P87)+SUM($V$27:V87)</f>
        <v>#N/A</v>
      </c>
      <c r="R87" s="244" t="e">
        <f t="shared" ca="1" si="54"/>
        <v>#N/A</v>
      </c>
      <c r="S87" s="248" t="e">
        <f ca="1">SUM($R$27:R87)</f>
        <v>#N/A</v>
      </c>
      <c r="T87" s="244" t="e">
        <f t="shared" ca="1" si="55"/>
        <v>#N/A</v>
      </c>
      <c r="U87" s="244" t="e">
        <f ca="1">SUM($T$27:T87)</f>
        <v>#N/A</v>
      </c>
      <c r="V87" t="e">
        <f t="shared" ca="1" si="51"/>
        <v>#N/A</v>
      </c>
      <c r="W87" s="75" t="e">
        <f ca="1">SUM($V$27:V87)</f>
        <v>#N/A</v>
      </c>
      <c r="X87" s="78" t="e">
        <f t="shared" ca="1" si="40"/>
        <v>#N/A</v>
      </c>
      <c r="Y87" t="e">
        <f t="shared" si="41"/>
        <v>#N/A</v>
      </c>
      <c r="Z87" t="e">
        <f t="shared" ca="1" si="42"/>
        <v>#N/A</v>
      </c>
      <c r="AA87" s="75" t="e">
        <f ca="1">SUM($Z$27:Z87)</f>
        <v>#N/A</v>
      </c>
      <c r="AB87" s="78" t="e">
        <f t="shared" ca="1" si="43"/>
        <v>#N/A</v>
      </c>
      <c r="AC87" s="78" t="e">
        <f ca="1">SUM($AB$27:AB87)</f>
        <v>#N/A</v>
      </c>
      <c r="AD87" t="e">
        <f t="shared" ca="1" si="44"/>
        <v>#N/A</v>
      </c>
      <c r="AE87" t="e">
        <f t="shared" ca="1" si="45"/>
        <v>#N/A</v>
      </c>
      <c r="AF87" t="e">
        <f t="shared" ca="1" si="46"/>
        <v>#N/A</v>
      </c>
      <c r="AG87" t="e">
        <f t="shared" ca="1" si="25"/>
        <v>#N/A</v>
      </c>
      <c r="AH87" t="e">
        <f t="shared" ca="1" si="52"/>
        <v>#N/A</v>
      </c>
      <c r="AI87" t="e">
        <f t="shared" ca="1" si="26"/>
        <v>#N/A</v>
      </c>
      <c r="AJ87" t="e">
        <f ca="1">SUM($AI$27:AI87)</f>
        <v>#N/A</v>
      </c>
      <c r="AK87" t="e">
        <f t="shared" ca="1" si="27"/>
        <v>#N/A</v>
      </c>
      <c r="AL87" t="e">
        <f ca="1">SUM($AK$27:AK87)</f>
        <v>#N/A</v>
      </c>
      <c r="AM87" s="244" t="e">
        <f t="shared" ca="1" si="56"/>
        <v>#N/A</v>
      </c>
      <c r="AN87" s="248" t="e">
        <f ca="1">SUM($T$27:T87)+SUM($AM$27:AM87)</f>
        <v>#N/A</v>
      </c>
      <c r="AO87" t="e">
        <f t="shared" ca="1" si="30"/>
        <v>#N/A</v>
      </c>
      <c r="AP87" t="e">
        <f ca="1">SUM($AO$27:AO87)</f>
        <v>#N/A</v>
      </c>
      <c r="AQ87" t="e">
        <f t="shared" ca="1" si="20"/>
        <v>#N/A</v>
      </c>
      <c r="AR87" t="e">
        <f t="shared" ca="1" si="47"/>
        <v>#N/A</v>
      </c>
      <c r="AS87" t="e">
        <f t="shared" ca="1" si="34"/>
        <v>#N/A</v>
      </c>
      <c r="AT87" t="e">
        <f t="shared" ca="1" si="35"/>
        <v>#N/A</v>
      </c>
      <c r="AU87" t="e">
        <f t="shared" ca="1" si="23"/>
        <v>#N/A</v>
      </c>
      <c r="AZ87" t="e">
        <f t="shared" ca="1" si="48"/>
        <v>#N/A</v>
      </c>
      <c r="BA87" s="105" t="e">
        <f t="shared" ca="1" si="49"/>
        <v>#N/A</v>
      </c>
    </row>
    <row r="88" spans="1:53" x14ac:dyDescent="0.25">
      <c r="B88" s="105">
        <f t="shared" ref="B88:C91" si="57">B87+1</f>
        <v>61</v>
      </c>
      <c r="C88">
        <f t="shared" si="57"/>
        <v>62</v>
      </c>
      <c r="D88" s="78"/>
      <c r="E88" s="78" t="e">
        <f t="shared" ca="1" si="53"/>
        <v>#N/A</v>
      </c>
      <c r="F88" t="e">
        <f t="shared" ca="1" si="50"/>
        <v>#N/A</v>
      </c>
      <c r="G88" t="e">
        <f ca="1">SUM($F$27:F88)</f>
        <v>#N/A</v>
      </c>
      <c r="H88" t="e">
        <f t="shared" si="36"/>
        <v>#N/A</v>
      </c>
      <c r="I88" t="e">
        <f t="shared" ca="1" si="37"/>
        <v>#N/A</v>
      </c>
      <c r="J88" t="e">
        <f ca="1">SUM($I$27:I88)</f>
        <v>#N/A</v>
      </c>
      <c r="K88" t="e">
        <f t="shared" ca="1" si="38"/>
        <v>#N/A</v>
      </c>
      <c r="L88" t="e">
        <f t="shared" ca="1" si="39"/>
        <v>#N/A</v>
      </c>
      <c r="M88" s="888">
        <f t="shared" si="14"/>
        <v>0.5</v>
      </c>
      <c r="N88" s="248" t="e">
        <f t="shared" ca="1" si="15"/>
        <v>#N/A</v>
      </c>
      <c r="O88" s="248" t="e">
        <f t="shared" ca="1" si="16"/>
        <v>#N/A</v>
      </c>
      <c r="P88" s="248" t="e">
        <f t="shared" ca="1" si="29"/>
        <v>#N/A</v>
      </c>
      <c r="Q88" s="244" t="e">
        <f ca="1">SUM($P$27:P88)+SUM($V$27:V88)</f>
        <v>#N/A</v>
      </c>
      <c r="R88" s="244" t="e">
        <f t="shared" ca="1" si="54"/>
        <v>#N/A</v>
      </c>
      <c r="S88" s="248" t="e">
        <f ca="1">SUM($R$27:R88)</f>
        <v>#N/A</v>
      </c>
      <c r="T88" s="244" t="e">
        <f t="shared" ca="1" si="55"/>
        <v>#N/A</v>
      </c>
      <c r="U88" s="244" t="e">
        <f ca="1">SUM($T$27:T88)</f>
        <v>#N/A</v>
      </c>
      <c r="V88" t="e">
        <f t="shared" ca="1" si="51"/>
        <v>#N/A</v>
      </c>
      <c r="W88" s="75" t="e">
        <f ca="1">SUM($V$27:V88)</f>
        <v>#N/A</v>
      </c>
      <c r="X88" s="78" t="e">
        <f t="shared" ca="1" si="40"/>
        <v>#N/A</v>
      </c>
      <c r="Y88" t="e">
        <f t="shared" si="41"/>
        <v>#N/A</v>
      </c>
      <c r="Z88" t="e">
        <f t="shared" ca="1" si="42"/>
        <v>#N/A</v>
      </c>
      <c r="AA88" s="75" t="e">
        <f ca="1">SUM($Z$27:Z88)</f>
        <v>#N/A</v>
      </c>
      <c r="AB88" t="e">
        <f t="shared" ca="1" si="43"/>
        <v>#N/A</v>
      </c>
      <c r="AC88" s="78" t="e">
        <f ca="1">SUM($AB$27:AB88)</f>
        <v>#N/A</v>
      </c>
      <c r="AD88" t="e">
        <f t="shared" ca="1" si="44"/>
        <v>#N/A</v>
      </c>
      <c r="AE88" t="e">
        <f t="shared" ca="1" si="45"/>
        <v>#N/A</v>
      </c>
      <c r="AF88" t="e">
        <f t="shared" ca="1" si="46"/>
        <v>#N/A</v>
      </c>
      <c r="AG88" t="e">
        <f t="shared" ca="1" si="25"/>
        <v>#N/A</v>
      </c>
      <c r="AH88" t="e">
        <f t="shared" ca="1" si="52"/>
        <v>#N/A</v>
      </c>
      <c r="AI88" t="e">
        <f t="shared" ca="1" si="26"/>
        <v>#N/A</v>
      </c>
      <c r="AJ88" t="e">
        <f ca="1">SUM($AI$27:AI88)</f>
        <v>#N/A</v>
      </c>
      <c r="AK88" t="e">
        <f t="shared" ca="1" si="27"/>
        <v>#N/A</v>
      </c>
      <c r="AL88" t="e">
        <f ca="1">SUM($AK$27:AK88)</f>
        <v>#N/A</v>
      </c>
      <c r="AM88" s="244" t="e">
        <f t="shared" ca="1" si="56"/>
        <v>#N/A</v>
      </c>
      <c r="AN88" s="248" t="e">
        <f ca="1">SUM($T$27:T88)+SUM($AM$27:AM88)</f>
        <v>#N/A</v>
      </c>
      <c r="AO88" t="e">
        <f t="shared" ca="1" si="30"/>
        <v>#N/A</v>
      </c>
      <c r="AP88" t="e">
        <f ca="1">SUM($AO$27:AO88)</f>
        <v>#N/A</v>
      </c>
      <c r="AQ88" t="e">
        <f t="shared" ca="1" si="20"/>
        <v>#N/A</v>
      </c>
      <c r="AR88" t="e">
        <f t="shared" ca="1" si="47"/>
        <v>#N/A</v>
      </c>
      <c r="AS88" t="e">
        <f t="shared" ca="1" si="34"/>
        <v>#N/A</v>
      </c>
      <c r="AT88" t="e">
        <f t="shared" ca="1" si="35"/>
        <v>#N/A</v>
      </c>
      <c r="AU88" t="e">
        <f t="shared" ca="1" si="23"/>
        <v>#N/A</v>
      </c>
      <c r="AZ88" t="e">
        <f t="shared" ca="1" si="48"/>
        <v>#N/A</v>
      </c>
      <c r="BA88" s="105" t="e">
        <f t="shared" ca="1" si="49"/>
        <v>#N/A</v>
      </c>
    </row>
    <row r="89" spans="1:53" x14ac:dyDescent="0.25">
      <c r="B89" s="105">
        <f t="shared" si="57"/>
        <v>62</v>
      </c>
      <c r="C89">
        <f t="shared" si="57"/>
        <v>63</v>
      </c>
      <c r="D89" s="78"/>
      <c r="E89" s="78" t="e">
        <f t="shared" ca="1" si="53"/>
        <v>#N/A</v>
      </c>
      <c r="F89" t="e">
        <f t="shared" ca="1" si="50"/>
        <v>#N/A</v>
      </c>
      <c r="G89" t="e">
        <f ca="1">SUM($F$27:F89)</f>
        <v>#N/A</v>
      </c>
      <c r="H89" t="e">
        <f t="shared" si="36"/>
        <v>#N/A</v>
      </c>
      <c r="I89" t="e">
        <f t="shared" ca="1" si="37"/>
        <v>#N/A</v>
      </c>
      <c r="J89" t="e">
        <f ca="1">SUM($I$27:I89)</f>
        <v>#N/A</v>
      </c>
      <c r="K89" t="e">
        <f t="shared" ca="1" si="38"/>
        <v>#N/A</v>
      </c>
      <c r="L89" t="e">
        <f t="shared" ca="1" si="39"/>
        <v>#N/A</v>
      </c>
      <c r="M89" s="888">
        <f t="shared" si="14"/>
        <v>0.5</v>
      </c>
      <c r="N89" s="248" t="e">
        <f t="shared" ca="1" si="15"/>
        <v>#N/A</v>
      </c>
      <c r="O89" s="248" t="e">
        <f t="shared" ca="1" si="16"/>
        <v>#N/A</v>
      </c>
      <c r="P89" s="248" t="e">
        <f t="shared" ca="1" si="29"/>
        <v>#N/A</v>
      </c>
      <c r="Q89" s="244" t="e">
        <f ca="1">SUM($P$27:P89)+SUM($V$27:V89)</f>
        <v>#N/A</v>
      </c>
      <c r="R89" s="244" t="e">
        <f t="shared" ca="1" si="54"/>
        <v>#N/A</v>
      </c>
      <c r="S89" s="248" t="e">
        <f ca="1">SUM($R$27:R89)</f>
        <v>#N/A</v>
      </c>
      <c r="T89" s="244" t="e">
        <f t="shared" ca="1" si="55"/>
        <v>#N/A</v>
      </c>
      <c r="U89" s="244" t="e">
        <f ca="1">SUM($T$27:T89)</f>
        <v>#N/A</v>
      </c>
      <c r="V89" t="e">
        <f t="shared" ca="1" si="51"/>
        <v>#N/A</v>
      </c>
      <c r="W89" s="75" t="e">
        <f ca="1">SUM($V$27:V89)</f>
        <v>#N/A</v>
      </c>
      <c r="X89" s="78" t="e">
        <f t="shared" ca="1" si="40"/>
        <v>#N/A</v>
      </c>
      <c r="Y89" t="e">
        <f t="shared" si="41"/>
        <v>#N/A</v>
      </c>
      <c r="Z89" t="e">
        <f t="shared" ca="1" si="42"/>
        <v>#N/A</v>
      </c>
      <c r="AA89" s="75" t="e">
        <f ca="1">SUM($Z$27:Z89)</f>
        <v>#N/A</v>
      </c>
      <c r="AB89" t="e">
        <f t="shared" ca="1" si="43"/>
        <v>#N/A</v>
      </c>
      <c r="AC89" s="78" t="e">
        <f ca="1">SUM($AB$27:AB89)</f>
        <v>#N/A</v>
      </c>
      <c r="AD89" t="e">
        <f t="shared" ca="1" si="44"/>
        <v>#N/A</v>
      </c>
      <c r="AE89" t="e">
        <f t="shared" ca="1" si="45"/>
        <v>#N/A</v>
      </c>
      <c r="AF89" t="e">
        <f t="shared" ca="1" si="46"/>
        <v>#N/A</v>
      </c>
      <c r="AG89" t="e">
        <f t="shared" ca="1" si="25"/>
        <v>#N/A</v>
      </c>
      <c r="AH89" t="e">
        <f t="shared" ca="1" si="52"/>
        <v>#N/A</v>
      </c>
      <c r="AI89" t="e">
        <f t="shared" ca="1" si="26"/>
        <v>#N/A</v>
      </c>
      <c r="AJ89" t="e">
        <f ca="1">SUM($AI$27:AI89)</f>
        <v>#N/A</v>
      </c>
      <c r="AK89" t="e">
        <f t="shared" ca="1" si="27"/>
        <v>#N/A</v>
      </c>
      <c r="AL89" t="e">
        <f ca="1">SUM($AK$27:AK89)</f>
        <v>#N/A</v>
      </c>
      <c r="AM89" s="244" t="e">
        <f t="shared" ca="1" si="56"/>
        <v>#N/A</v>
      </c>
      <c r="AN89" s="248" t="e">
        <f ca="1">SUM($T$27:T89)+SUM($AM$27:AM89)</f>
        <v>#N/A</v>
      </c>
      <c r="AO89" t="e">
        <f t="shared" ca="1" si="30"/>
        <v>#N/A</v>
      </c>
      <c r="AP89" t="e">
        <f ca="1">SUM($AO$27:AO89)</f>
        <v>#N/A</v>
      </c>
      <c r="AQ89" t="e">
        <f t="shared" ca="1" si="20"/>
        <v>#N/A</v>
      </c>
      <c r="AR89" t="e">
        <f t="shared" ca="1" si="47"/>
        <v>#N/A</v>
      </c>
      <c r="AS89" t="e">
        <f t="shared" ca="1" si="34"/>
        <v>#N/A</v>
      </c>
      <c r="AT89" t="e">
        <f t="shared" ca="1" si="35"/>
        <v>#N/A</v>
      </c>
      <c r="AU89" t="e">
        <f t="shared" ca="1" si="23"/>
        <v>#N/A</v>
      </c>
      <c r="AZ89" t="e">
        <f t="shared" ca="1" si="48"/>
        <v>#N/A</v>
      </c>
      <c r="BA89" s="105" t="e">
        <f t="shared" ca="1" si="49"/>
        <v>#N/A</v>
      </c>
    </row>
    <row r="90" spans="1:53" ht="12.75" customHeight="1" x14ac:dyDescent="0.25">
      <c r="B90" s="105">
        <f t="shared" si="57"/>
        <v>63</v>
      </c>
      <c r="C90">
        <f t="shared" si="57"/>
        <v>64</v>
      </c>
      <c r="D90" s="78"/>
      <c r="E90" s="78" t="e">
        <f t="shared" ca="1" si="53"/>
        <v>#N/A</v>
      </c>
      <c r="F90" t="e">
        <f t="shared" ca="1" si="50"/>
        <v>#N/A</v>
      </c>
      <c r="G90" t="e">
        <f ca="1">SUM($F$27:F90)</f>
        <v>#N/A</v>
      </c>
      <c r="H90" t="e">
        <f t="shared" si="36"/>
        <v>#N/A</v>
      </c>
      <c r="I90" t="e">
        <f t="shared" ca="1" si="37"/>
        <v>#N/A</v>
      </c>
      <c r="J90" t="e">
        <f ca="1">SUM($I$27:I90)</f>
        <v>#N/A</v>
      </c>
      <c r="K90" t="e">
        <f t="shared" ca="1" si="38"/>
        <v>#N/A</v>
      </c>
      <c r="L90" t="e">
        <f t="shared" ca="1" si="39"/>
        <v>#N/A</v>
      </c>
      <c r="M90" s="888">
        <f t="shared" si="14"/>
        <v>0.5</v>
      </c>
      <c r="N90" s="248" t="e">
        <f t="shared" ca="1" si="15"/>
        <v>#N/A</v>
      </c>
      <c r="O90" s="248" t="e">
        <f t="shared" ca="1" si="16"/>
        <v>#N/A</v>
      </c>
      <c r="P90" s="248" t="e">
        <f t="shared" ca="1" si="29"/>
        <v>#N/A</v>
      </c>
      <c r="Q90" s="244" t="e">
        <f ca="1">SUM($P$27:P90)+SUM($V$27:V90)</f>
        <v>#N/A</v>
      </c>
      <c r="R90" s="244" t="e">
        <f t="shared" ca="1" si="54"/>
        <v>#N/A</v>
      </c>
      <c r="S90" s="248" t="e">
        <f ca="1">SUM($R$27:R90)</f>
        <v>#N/A</v>
      </c>
      <c r="T90" s="244" t="e">
        <f t="shared" ca="1" si="55"/>
        <v>#N/A</v>
      </c>
      <c r="U90" s="244" t="e">
        <f ca="1">SUM($T$27:T90)</f>
        <v>#N/A</v>
      </c>
      <c r="V90" t="e">
        <f t="shared" ca="1" si="51"/>
        <v>#N/A</v>
      </c>
      <c r="W90" s="75" t="e">
        <f ca="1">SUM($V$27:V90)</f>
        <v>#N/A</v>
      </c>
      <c r="X90" s="78" t="e">
        <f t="shared" ca="1" si="40"/>
        <v>#N/A</v>
      </c>
      <c r="Y90" t="e">
        <f t="shared" si="41"/>
        <v>#N/A</v>
      </c>
      <c r="Z90" t="e">
        <f t="shared" ca="1" si="42"/>
        <v>#N/A</v>
      </c>
      <c r="AA90" s="75" t="e">
        <f ca="1">SUM($Z$27:Z90)</f>
        <v>#N/A</v>
      </c>
      <c r="AB90" t="e">
        <f t="shared" ca="1" si="43"/>
        <v>#N/A</v>
      </c>
      <c r="AC90" s="78" t="e">
        <f ca="1">SUM($AB$27:AB90)</f>
        <v>#N/A</v>
      </c>
      <c r="AD90" t="e">
        <f t="shared" ca="1" si="44"/>
        <v>#N/A</v>
      </c>
      <c r="AE90" t="e">
        <f t="shared" ca="1" si="45"/>
        <v>#N/A</v>
      </c>
      <c r="AF90" t="e">
        <f t="shared" ca="1" si="46"/>
        <v>#N/A</v>
      </c>
      <c r="AG90" t="e">
        <f t="shared" ca="1" si="25"/>
        <v>#N/A</v>
      </c>
      <c r="AH90" t="e">
        <f t="shared" ca="1" si="52"/>
        <v>#N/A</v>
      </c>
      <c r="AI90" t="e">
        <f t="shared" ca="1" si="26"/>
        <v>#N/A</v>
      </c>
      <c r="AJ90" t="e">
        <f ca="1">SUM($AI$27:AI90)</f>
        <v>#N/A</v>
      </c>
      <c r="AK90" t="e">
        <f t="shared" ca="1" si="27"/>
        <v>#N/A</v>
      </c>
      <c r="AL90" t="e">
        <f ca="1">SUM($AK$27:AK90)</f>
        <v>#N/A</v>
      </c>
      <c r="AM90" s="244" t="e">
        <f t="shared" ca="1" si="56"/>
        <v>#N/A</v>
      </c>
      <c r="AN90" s="248" t="e">
        <f ca="1">SUM($T$27:T90)+SUM($AM$27:AM90)</f>
        <v>#N/A</v>
      </c>
      <c r="AO90" t="e">
        <f t="shared" ca="1" si="30"/>
        <v>#N/A</v>
      </c>
      <c r="AP90" t="e">
        <f ca="1">SUM($AO$27:AO90)</f>
        <v>#N/A</v>
      </c>
      <c r="AQ90" t="e">
        <f t="shared" ca="1" si="20"/>
        <v>#N/A</v>
      </c>
      <c r="AR90" t="e">
        <f t="shared" ca="1" si="47"/>
        <v>#N/A</v>
      </c>
      <c r="AS90" t="e">
        <f t="shared" ca="1" si="34"/>
        <v>#N/A</v>
      </c>
      <c r="AT90" t="e">
        <f t="shared" ca="1" si="35"/>
        <v>#N/A</v>
      </c>
      <c r="AU90" t="e">
        <f t="shared" ca="1" si="23"/>
        <v>#N/A</v>
      </c>
      <c r="AZ90" t="e">
        <f t="shared" ca="1" si="48"/>
        <v>#N/A</v>
      </c>
      <c r="BA90" s="105" t="e">
        <f t="shared" ca="1" si="49"/>
        <v>#N/A</v>
      </c>
    </row>
    <row r="91" spans="1:53" x14ac:dyDescent="0.25">
      <c r="B91" s="105">
        <f t="shared" si="57"/>
        <v>64</v>
      </c>
      <c r="C91">
        <f t="shared" si="57"/>
        <v>65</v>
      </c>
      <c r="D91" s="78"/>
      <c r="E91" s="78">
        <f t="shared" si="53"/>
        <v>0</v>
      </c>
      <c r="F91">
        <f t="shared" si="50"/>
        <v>0</v>
      </c>
      <c r="G91" t="e">
        <f ca="1">SUM($F$27:F91)</f>
        <v>#N/A</v>
      </c>
      <c r="H91" t="e">
        <f t="shared" ref="H91:H106" si="58">IF(B91&lt;$D$8,$C$11,$D$11)</f>
        <v>#N/A</v>
      </c>
      <c r="I91" t="e">
        <f t="shared" ref="I91:I106" si="59">ROUND((E91-(E91*$D$14))*H91,0)</f>
        <v>#N/A</v>
      </c>
      <c r="J91" t="e">
        <f ca="1">SUM($I$27:I91)</f>
        <v>#N/A</v>
      </c>
      <c r="K91" t="e">
        <f t="shared" ref="K91:K106" si="60">ROUND(I91*$C$17,0)</f>
        <v>#N/A</v>
      </c>
      <c r="L91" t="e">
        <f t="shared" ref="L91:L106" si="61">ROUND((I91*(1-$C$17)),0)</f>
        <v>#N/A</v>
      </c>
      <c r="M91" s="888">
        <f t="shared" si="14"/>
        <v>0.5</v>
      </c>
      <c r="N91" s="248" t="e">
        <f t="shared" si="15"/>
        <v>#N/A</v>
      </c>
      <c r="O91" s="248" t="e">
        <f t="shared" si="16"/>
        <v>#N/A</v>
      </c>
      <c r="P91" s="248" t="e">
        <f t="shared" ca="1" si="29"/>
        <v>#N/A</v>
      </c>
      <c r="Q91" s="244" t="e">
        <f ca="1">SUM($P$27:P91)+SUM($V$27:V91)</f>
        <v>#N/A</v>
      </c>
      <c r="R91" s="244" t="e">
        <f t="shared" ca="1" si="54"/>
        <v>#N/A</v>
      </c>
      <c r="S91" s="248" t="e">
        <f ca="1">SUM($R$27:R91)</f>
        <v>#N/A</v>
      </c>
      <c r="T91" s="244" t="e">
        <f t="shared" ca="1" si="55"/>
        <v>#N/A</v>
      </c>
      <c r="U91" s="244" t="e">
        <f ca="1">SUM($T$27:T91)</f>
        <v>#N/A</v>
      </c>
      <c r="V91" t="e">
        <f t="shared" ca="1" si="51"/>
        <v>#N/A</v>
      </c>
      <c r="W91" s="75" t="e">
        <f ca="1">SUM($V$27:V91)</f>
        <v>#N/A</v>
      </c>
      <c r="X91" s="78" t="e">
        <f t="shared" ref="X91:X106" si="62">E91-F91-I91</f>
        <v>#N/A</v>
      </c>
      <c r="Y91" t="e">
        <f t="shared" ref="Y91:Y106" si="63">IF(B91&lt;$D$8,$C$12,$D$12)</f>
        <v>#N/A</v>
      </c>
      <c r="Z91" t="e">
        <f t="shared" ref="Z91:Z106" si="64">ROUND(F91*Y91,0)</f>
        <v>#N/A</v>
      </c>
      <c r="AA91" s="75" t="e">
        <f ca="1">SUM($Z$27:Z91)</f>
        <v>#N/A</v>
      </c>
      <c r="AB91" t="e">
        <f t="shared" ref="AB91:AB106" si="65">SUM(I91,Z91)</f>
        <v>#N/A</v>
      </c>
      <c r="AC91" s="78" t="e">
        <f ca="1">SUM($AB$27:AB91)</f>
        <v>#N/A</v>
      </c>
      <c r="AD91" t="e">
        <f t="shared" ref="AD91:AD106" si="66">F91-Z91</f>
        <v>#N/A</v>
      </c>
      <c r="AE91" t="e">
        <f t="shared" ref="AE91:AE106" si="67">ROUND(Z91*$D$17,0)</f>
        <v>#N/A</v>
      </c>
      <c r="AF91" t="e">
        <f t="shared" ref="AF91:AF106" si="68">ROUND(Z91*(1-$D$17),0)</f>
        <v>#N/A</v>
      </c>
      <c r="AG91" t="e">
        <f t="shared" ca="1" si="25"/>
        <v>#N/A</v>
      </c>
      <c r="AH91" t="e">
        <f t="shared" ca="1" si="52"/>
        <v>#N/A</v>
      </c>
      <c r="AI91" t="e">
        <f t="shared" ca="1" si="26"/>
        <v>#N/A</v>
      </c>
      <c r="AJ91" t="e">
        <f ca="1">SUM($AI$27:AI91)</f>
        <v>#N/A</v>
      </c>
      <c r="AK91" t="e">
        <f t="shared" ca="1" si="27"/>
        <v>#N/A</v>
      </c>
      <c r="AL91" t="e">
        <f ca="1">SUM($AK$27:AK91)</f>
        <v>#N/A</v>
      </c>
      <c r="AM91" s="244" t="e">
        <f t="shared" ca="1" si="56"/>
        <v>#N/A</v>
      </c>
      <c r="AN91" s="248" t="e">
        <f ca="1">SUM($T$27:T91)+SUM($AM$27:AM91)</f>
        <v>#N/A</v>
      </c>
      <c r="AO91" t="e">
        <f t="shared" ca="1" si="30"/>
        <v>#N/A</v>
      </c>
      <c r="AP91" t="e">
        <f ca="1">SUM($AO$27:AO91)</f>
        <v>#N/A</v>
      </c>
      <c r="AQ91" t="e">
        <f t="shared" ca="1" si="20"/>
        <v>#N/A</v>
      </c>
      <c r="AR91" t="e">
        <f t="shared" ref="AR91:AR106" ca="1" si="69">U91+W91+AA91</f>
        <v>#N/A</v>
      </c>
      <c r="AS91" t="e">
        <f t="shared" ca="1" si="34"/>
        <v>#N/A</v>
      </c>
      <c r="AT91" t="e">
        <f t="shared" ca="1" si="35"/>
        <v>#N/A</v>
      </c>
      <c r="AU91" t="e">
        <f t="shared" ca="1" si="23"/>
        <v>#N/A</v>
      </c>
      <c r="AZ91" t="e">
        <f t="shared" ref="AZ91:AZ106" ca="1" si="70">IF(AU91=MAX($AU$27:$AU$106),1,"")</f>
        <v>#N/A</v>
      </c>
      <c r="BA91" s="105" t="e">
        <f t="shared" ref="BA91:BA106" ca="1" si="71">IF(AZ91=1,B91,"")</f>
        <v>#N/A</v>
      </c>
    </row>
    <row r="92" spans="1:53" x14ac:dyDescent="0.25">
      <c r="B92" s="105">
        <f t="shared" ref="B92:B106" si="72">B91+1</f>
        <v>65</v>
      </c>
      <c r="C92">
        <f t="shared" ref="C92:C106" si="73">C91+1</f>
        <v>66</v>
      </c>
      <c r="E92" s="78">
        <f t="shared" si="53"/>
        <v>0</v>
      </c>
      <c r="F92">
        <f t="shared" ref="F92:F106" si="74">IF(AND(E92&gt;0.5,E92&lt;1.5),1,ROUND(E92*$D$14,0))</f>
        <v>0</v>
      </c>
      <c r="G92" t="e">
        <f ca="1">SUM($F$27:F92)</f>
        <v>#N/A</v>
      </c>
      <c r="H92" t="e">
        <f t="shared" si="58"/>
        <v>#N/A</v>
      </c>
      <c r="I92" t="e">
        <f t="shared" si="59"/>
        <v>#N/A</v>
      </c>
      <c r="J92" t="e">
        <f ca="1">SUM($I$27:I92)</f>
        <v>#N/A</v>
      </c>
      <c r="K92" t="e">
        <f t="shared" si="60"/>
        <v>#N/A</v>
      </c>
      <c r="L92" t="e">
        <f t="shared" si="61"/>
        <v>#N/A</v>
      </c>
      <c r="M92" s="888">
        <f t="shared" ref="M92:M106" si="75">$D$13</f>
        <v>0.5</v>
      </c>
      <c r="N92" s="248" t="e">
        <f t="shared" ref="N92:N106" si="76">K92-O92</f>
        <v>#N/A</v>
      </c>
      <c r="O92" s="248" t="e">
        <f t="shared" ref="O92:O106" si="77">ROUND(K92*M92,0)</f>
        <v>#N/A</v>
      </c>
      <c r="P92" s="248" t="e">
        <f t="shared" ca="1" si="29"/>
        <v>#N/A</v>
      </c>
      <c r="Q92" s="244" t="e">
        <f ca="1">SUM($P$27:P92)+SUM($V$27:V92)</f>
        <v>#N/A</v>
      </c>
      <c r="R92" s="244" t="e">
        <f t="shared" ca="1" si="54"/>
        <v>#N/A</v>
      </c>
      <c r="S92" s="248" t="e">
        <f ca="1">SUM($R$27:R92)</f>
        <v>#N/A</v>
      </c>
      <c r="T92" s="244" t="e">
        <f t="shared" ca="1" si="55"/>
        <v>#N/A</v>
      </c>
      <c r="U92" s="244" t="e">
        <f ca="1">SUM($T$27:T92)</f>
        <v>#N/A</v>
      </c>
      <c r="V92" t="e">
        <f t="shared" ref="V92:V106" si="78">ROUND(L91*0.5+L92*0.5,0)</f>
        <v>#N/A</v>
      </c>
      <c r="W92" s="75" t="e">
        <f ca="1">SUM($V$27:V92)</f>
        <v>#N/A</v>
      </c>
      <c r="X92" s="78" t="e">
        <f t="shared" si="62"/>
        <v>#N/A</v>
      </c>
      <c r="Y92" t="e">
        <f t="shared" si="63"/>
        <v>#N/A</v>
      </c>
      <c r="Z92" t="e">
        <f t="shared" si="64"/>
        <v>#N/A</v>
      </c>
      <c r="AA92" s="75" t="e">
        <f ca="1">SUM($Z$27:Z92)</f>
        <v>#N/A</v>
      </c>
      <c r="AB92" t="e">
        <f t="shared" si="65"/>
        <v>#N/A</v>
      </c>
      <c r="AC92" s="78" t="e">
        <f ca="1">SUM($AB$27:AB92)</f>
        <v>#N/A</v>
      </c>
      <c r="AD92" t="e">
        <f t="shared" si="66"/>
        <v>#N/A</v>
      </c>
      <c r="AE92" t="e">
        <f t="shared" si="67"/>
        <v>#N/A</v>
      </c>
      <c r="AF92" t="e">
        <f t="shared" si="68"/>
        <v>#N/A</v>
      </c>
      <c r="AG92" t="e">
        <f t="shared" si="25"/>
        <v>#N/A</v>
      </c>
      <c r="AH92" t="e">
        <f t="shared" ref="AH92:AH106" ca="1" si="79">V91*1</f>
        <v>#N/A</v>
      </c>
      <c r="AI92" t="e">
        <f t="shared" ref="AI92:AI106" si="80">SUM(AG92:AH92)</f>
        <v>#N/A</v>
      </c>
      <c r="AJ92" t="e">
        <f ca="1">SUM($AI$27:AI92)</f>
        <v>#N/A</v>
      </c>
      <c r="AK92" t="e">
        <f t="shared" ref="AK92:AK106" si="81">AI92+AD92</f>
        <v>#N/A</v>
      </c>
      <c r="AL92" t="e">
        <f ca="1">SUM($AK$27:AK92)</f>
        <v>#N/A</v>
      </c>
      <c r="AM92" s="244" t="e">
        <f t="shared" ca="1" si="56"/>
        <v>#N/A</v>
      </c>
      <c r="AN92" s="248" t="e">
        <f ca="1">SUM($T$27:T92)+SUM($AM$27:AM92)</f>
        <v>#N/A</v>
      </c>
      <c r="AO92" t="e">
        <f t="shared" ca="1" si="30"/>
        <v>#N/A</v>
      </c>
      <c r="AP92" t="e">
        <f ca="1">SUM($AO$27:AO92)</f>
        <v>#N/A</v>
      </c>
      <c r="AQ92" t="e">
        <f t="shared" ref="AQ92:AQ106" ca="1" si="82">P92+V92+Z92</f>
        <v>#N/A</v>
      </c>
      <c r="AR92" t="e">
        <f t="shared" ca="1" si="69"/>
        <v>#N/A</v>
      </c>
      <c r="AS92" t="e">
        <f t="shared" ca="1" si="34"/>
        <v>#N/A</v>
      </c>
      <c r="AT92" t="e">
        <f t="shared" ca="1" si="35"/>
        <v>#N/A</v>
      </c>
      <c r="AU92" t="e">
        <f t="shared" ref="AU92:AU106" ca="1" si="83">AS92+AT92</f>
        <v>#N/A</v>
      </c>
      <c r="AZ92" t="e">
        <f t="shared" ca="1" si="70"/>
        <v>#N/A</v>
      </c>
      <c r="BA92" s="105" t="e">
        <f t="shared" ca="1" si="71"/>
        <v>#N/A</v>
      </c>
    </row>
    <row r="93" spans="1:53" x14ac:dyDescent="0.25">
      <c r="B93" s="105">
        <f t="shared" si="72"/>
        <v>66</v>
      </c>
      <c r="C93">
        <f t="shared" si="73"/>
        <v>67</v>
      </c>
      <c r="E93" s="78">
        <f t="shared" si="53"/>
        <v>0</v>
      </c>
      <c r="F93">
        <f t="shared" si="74"/>
        <v>0</v>
      </c>
      <c r="G93" t="e">
        <f ca="1">SUM($F$27:F93)</f>
        <v>#N/A</v>
      </c>
      <c r="H93" t="e">
        <f t="shared" si="58"/>
        <v>#N/A</v>
      </c>
      <c r="I93" t="e">
        <f t="shared" si="59"/>
        <v>#N/A</v>
      </c>
      <c r="J93" t="e">
        <f ca="1">SUM($I$27:I93)</f>
        <v>#N/A</v>
      </c>
      <c r="K93" t="e">
        <f t="shared" si="60"/>
        <v>#N/A</v>
      </c>
      <c r="L93" t="e">
        <f t="shared" si="61"/>
        <v>#N/A</v>
      </c>
      <c r="M93" s="888">
        <f t="shared" si="75"/>
        <v>0.5</v>
      </c>
      <c r="N93" s="248" t="e">
        <f t="shared" si="76"/>
        <v>#N/A</v>
      </c>
      <c r="O93" s="248" t="e">
        <f t="shared" si="77"/>
        <v>#N/A</v>
      </c>
      <c r="P93" s="248" t="e">
        <f t="shared" ca="1" si="29"/>
        <v>#N/A</v>
      </c>
      <c r="Q93" s="244" t="e">
        <f ca="1">SUM($P$27:P93)+SUM($V$27:V93)</f>
        <v>#N/A</v>
      </c>
      <c r="R93" s="244" t="e">
        <f t="shared" ca="1" si="54"/>
        <v>#N/A</v>
      </c>
      <c r="S93" s="248" t="e">
        <f ca="1">SUM($R$27:R93)</f>
        <v>#N/A</v>
      </c>
      <c r="T93" s="244" t="e">
        <f t="shared" ca="1" si="55"/>
        <v>#N/A</v>
      </c>
      <c r="U93" s="244" t="e">
        <f ca="1">SUM($T$27:T93)</f>
        <v>#N/A</v>
      </c>
      <c r="V93" t="e">
        <f t="shared" si="78"/>
        <v>#N/A</v>
      </c>
      <c r="W93" s="75" t="e">
        <f ca="1">SUM($V$27:V93)</f>
        <v>#N/A</v>
      </c>
      <c r="X93" s="78" t="e">
        <f t="shared" si="62"/>
        <v>#N/A</v>
      </c>
      <c r="Y93" t="e">
        <f t="shared" si="63"/>
        <v>#N/A</v>
      </c>
      <c r="Z93" t="e">
        <f t="shared" si="64"/>
        <v>#N/A</v>
      </c>
      <c r="AA93" s="75" t="e">
        <f ca="1">SUM($Z$27:Z93)</f>
        <v>#N/A</v>
      </c>
      <c r="AB93" t="e">
        <f t="shared" si="65"/>
        <v>#N/A</v>
      </c>
      <c r="AC93" s="78" t="e">
        <f ca="1">SUM($AB$27:AB93)</f>
        <v>#N/A</v>
      </c>
      <c r="AD93" t="e">
        <f t="shared" si="66"/>
        <v>#N/A</v>
      </c>
      <c r="AE93" t="e">
        <f t="shared" si="67"/>
        <v>#N/A</v>
      </c>
      <c r="AF93" t="e">
        <f t="shared" si="68"/>
        <v>#N/A</v>
      </c>
      <c r="AG93" t="e">
        <f t="shared" ref="AG93:AG106" si="84">AF92*1</f>
        <v>#N/A</v>
      </c>
      <c r="AH93" t="e">
        <f t="shared" si="79"/>
        <v>#N/A</v>
      </c>
      <c r="AI93" t="e">
        <f t="shared" si="80"/>
        <v>#N/A</v>
      </c>
      <c r="AJ93" t="e">
        <f ca="1">SUM($AI$27:AI93)</f>
        <v>#N/A</v>
      </c>
      <c r="AK93" t="e">
        <f t="shared" si="81"/>
        <v>#N/A</v>
      </c>
      <c r="AL93" t="e">
        <f ca="1">SUM($AK$27:AK93)</f>
        <v>#N/A</v>
      </c>
      <c r="AM93" s="244" t="e">
        <f t="shared" ca="1" si="56"/>
        <v>#N/A</v>
      </c>
      <c r="AN93" s="248" t="e">
        <f ca="1">SUM($T$27:T93)+SUM($AM$27:AM93)</f>
        <v>#N/A</v>
      </c>
      <c r="AO93" t="e">
        <f t="shared" ca="1" si="30"/>
        <v>#N/A</v>
      </c>
      <c r="AP93" t="e">
        <f ca="1">SUM($AO$27:AO93)</f>
        <v>#N/A</v>
      </c>
      <c r="AQ93" t="e">
        <f t="shared" ca="1" si="82"/>
        <v>#N/A</v>
      </c>
      <c r="AR93" t="e">
        <f t="shared" ca="1" si="69"/>
        <v>#N/A</v>
      </c>
      <c r="AS93" t="e">
        <f t="shared" ca="1" si="34"/>
        <v>#N/A</v>
      </c>
      <c r="AT93" t="e">
        <f t="shared" ca="1" si="35"/>
        <v>#N/A</v>
      </c>
      <c r="AU93" t="e">
        <f t="shared" ca="1" si="83"/>
        <v>#N/A</v>
      </c>
      <c r="AZ93" t="e">
        <f t="shared" ca="1" si="70"/>
        <v>#N/A</v>
      </c>
      <c r="BA93" s="105" t="e">
        <f t="shared" ca="1" si="71"/>
        <v>#N/A</v>
      </c>
    </row>
    <row r="94" spans="1:53" x14ac:dyDescent="0.25">
      <c r="B94" s="105">
        <f t="shared" si="72"/>
        <v>67</v>
      </c>
      <c r="C94">
        <f t="shared" si="73"/>
        <v>68</v>
      </c>
      <c r="E94" s="78">
        <f t="shared" si="53"/>
        <v>0</v>
      </c>
      <c r="F94">
        <f t="shared" si="74"/>
        <v>0</v>
      </c>
      <c r="G94" t="e">
        <f ca="1">SUM($F$27:F94)</f>
        <v>#N/A</v>
      </c>
      <c r="H94" t="e">
        <f t="shared" si="58"/>
        <v>#N/A</v>
      </c>
      <c r="I94" t="e">
        <f t="shared" si="59"/>
        <v>#N/A</v>
      </c>
      <c r="J94" t="e">
        <f ca="1">SUM($I$27:I94)</f>
        <v>#N/A</v>
      </c>
      <c r="K94" t="e">
        <f t="shared" si="60"/>
        <v>#N/A</v>
      </c>
      <c r="L94" t="e">
        <f t="shared" si="61"/>
        <v>#N/A</v>
      </c>
      <c r="M94" s="888">
        <f t="shared" si="75"/>
        <v>0.5</v>
      </c>
      <c r="N94" s="248" t="e">
        <f t="shared" si="76"/>
        <v>#N/A</v>
      </c>
      <c r="O94" s="248" t="e">
        <f t="shared" si="77"/>
        <v>#N/A</v>
      </c>
      <c r="P94" s="248" t="e">
        <f t="shared" ca="1" si="29"/>
        <v>#N/A</v>
      </c>
      <c r="Q94" s="244" t="e">
        <f ca="1">SUM($P$27:P94)+SUM($V$27:V94)</f>
        <v>#N/A</v>
      </c>
      <c r="R94" s="244" t="e">
        <f t="shared" ca="1" si="54"/>
        <v>#N/A</v>
      </c>
      <c r="S94" s="248" t="e">
        <f ca="1">SUM($R$27:R94)</f>
        <v>#N/A</v>
      </c>
      <c r="T94" s="244" t="e">
        <f t="shared" ca="1" si="55"/>
        <v>#N/A</v>
      </c>
      <c r="U94" s="244" t="e">
        <f ca="1">SUM($T$27:T94)</f>
        <v>#N/A</v>
      </c>
      <c r="V94" t="e">
        <f t="shared" si="78"/>
        <v>#N/A</v>
      </c>
      <c r="W94" s="75" t="e">
        <f ca="1">SUM($V$27:V94)</f>
        <v>#N/A</v>
      </c>
      <c r="X94" s="78" t="e">
        <f t="shared" si="62"/>
        <v>#N/A</v>
      </c>
      <c r="Y94" t="e">
        <f t="shared" si="63"/>
        <v>#N/A</v>
      </c>
      <c r="Z94" t="e">
        <f t="shared" si="64"/>
        <v>#N/A</v>
      </c>
      <c r="AA94" s="75" t="e">
        <f ca="1">SUM($Z$27:Z94)</f>
        <v>#N/A</v>
      </c>
      <c r="AB94" t="e">
        <f t="shared" si="65"/>
        <v>#N/A</v>
      </c>
      <c r="AC94" s="78" t="e">
        <f ca="1">SUM($AB$27:AB94)</f>
        <v>#N/A</v>
      </c>
      <c r="AD94" t="e">
        <f t="shared" si="66"/>
        <v>#N/A</v>
      </c>
      <c r="AE94" t="e">
        <f t="shared" si="67"/>
        <v>#N/A</v>
      </c>
      <c r="AF94" t="e">
        <f t="shared" si="68"/>
        <v>#N/A</v>
      </c>
      <c r="AG94" t="e">
        <f t="shared" si="84"/>
        <v>#N/A</v>
      </c>
      <c r="AH94" t="e">
        <f t="shared" si="79"/>
        <v>#N/A</v>
      </c>
      <c r="AI94" t="e">
        <f t="shared" si="80"/>
        <v>#N/A</v>
      </c>
      <c r="AJ94" t="e">
        <f ca="1">SUM($AI$27:AI94)</f>
        <v>#N/A</v>
      </c>
      <c r="AK94" t="e">
        <f t="shared" si="81"/>
        <v>#N/A</v>
      </c>
      <c r="AL94" t="e">
        <f ca="1">SUM($AK$27:AK94)</f>
        <v>#N/A</v>
      </c>
      <c r="AM94" s="244" t="e">
        <f t="shared" ca="1" si="56"/>
        <v>#N/A</v>
      </c>
      <c r="AN94" s="248" t="e">
        <f ca="1">SUM($T$27:T94)+SUM($AM$27:AM94)</f>
        <v>#N/A</v>
      </c>
      <c r="AO94" t="e">
        <f t="shared" ca="1" si="30"/>
        <v>#N/A</v>
      </c>
      <c r="AP94" t="e">
        <f ca="1">SUM($AO$27:AO94)</f>
        <v>#N/A</v>
      </c>
      <c r="AQ94" t="e">
        <f t="shared" ca="1" si="82"/>
        <v>#N/A</v>
      </c>
      <c r="AR94" t="e">
        <f t="shared" ca="1" si="69"/>
        <v>#N/A</v>
      </c>
      <c r="AS94" t="e">
        <f t="shared" ca="1" si="34"/>
        <v>#N/A</v>
      </c>
      <c r="AT94" t="e">
        <f t="shared" ca="1" si="35"/>
        <v>#N/A</v>
      </c>
      <c r="AU94" t="e">
        <f t="shared" ca="1" si="83"/>
        <v>#N/A</v>
      </c>
      <c r="AZ94" t="e">
        <f t="shared" ca="1" si="70"/>
        <v>#N/A</v>
      </c>
      <c r="BA94" s="105" t="e">
        <f t="shared" ca="1" si="71"/>
        <v>#N/A</v>
      </c>
    </row>
    <row r="95" spans="1:53" x14ac:dyDescent="0.25">
      <c r="B95" s="105">
        <f t="shared" si="72"/>
        <v>68</v>
      </c>
      <c r="C95">
        <f t="shared" si="73"/>
        <v>69</v>
      </c>
      <c r="E95" s="78">
        <f t="shared" ref="E95:E106" si="85">IF(D91&lt;0.5,0,IF(D95+X94&lt;0,1,D95+X94))</f>
        <v>0</v>
      </c>
      <c r="F95">
        <f t="shared" si="74"/>
        <v>0</v>
      </c>
      <c r="G95" t="e">
        <f ca="1">SUM($F$27:F95)</f>
        <v>#N/A</v>
      </c>
      <c r="H95" t="e">
        <f t="shared" si="58"/>
        <v>#N/A</v>
      </c>
      <c r="I95" t="e">
        <f t="shared" si="59"/>
        <v>#N/A</v>
      </c>
      <c r="J95" t="e">
        <f ca="1">SUM($I$27:I95)</f>
        <v>#N/A</v>
      </c>
      <c r="K95" t="e">
        <f t="shared" si="60"/>
        <v>#N/A</v>
      </c>
      <c r="L95" t="e">
        <f t="shared" si="61"/>
        <v>#N/A</v>
      </c>
      <c r="M95" s="888">
        <f t="shared" si="75"/>
        <v>0.5</v>
      </c>
      <c r="N95" s="248" t="e">
        <f t="shared" si="76"/>
        <v>#N/A</v>
      </c>
      <c r="O95" s="248" t="e">
        <f t="shared" si="77"/>
        <v>#N/A</v>
      </c>
      <c r="P95" s="248" t="e">
        <f t="shared" si="29"/>
        <v>#N/A</v>
      </c>
      <c r="Q95" s="244" t="e">
        <f ca="1">SUM($P$27:P95)+SUM($V$27:V95)</f>
        <v>#N/A</v>
      </c>
      <c r="R95" s="244" t="e">
        <f t="shared" ca="1" si="54"/>
        <v>#N/A</v>
      </c>
      <c r="S95" s="248" t="e">
        <f ca="1">SUM($R$27:R95)</f>
        <v>#N/A</v>
      </c>
      <c r="T95" s="244" t="e">
        <f t="shared" ca="1" si="55"/>
        <v>#N/A</v>
      </c>
      <c r="U95" s="244" t="e">
        <f ca="1">SUM($T$27:T95)</f>
        <v>#N/A</v>
      </c>
      <c r="V95" t="e">
        <f t="shared" si="78"/>
        <v>#N/A</v>
      </c>
      <c r="W95" s="75" t="e">
        <f ca="1">SUM($V$27:V95)</f>
        <v>#N/A</v>
      </c>
      <c r="X95" s="78" t="e">
        <f t="shared" si="62"/>
        <v>#N/A</v>
      </c>
      <c r="Y95" t="e">
        <f t="shared" si="63"/>
        <v>#N/A</v>
      </c>
      <c r="Z95" t="e">
        <f t="shared" si="64"/>
        <v>#N/A</v>
      </c>
      <c r="AA95" s="75" t="e">
        <f ca="1">SUM($Z$27:Z95)</f>
        <v>#N/A</v>
      </c>
      <c r="AB95" t="e">
        <f t="shared" si="65"/>
        <v>#N/A</v>
      </c>
      <c r="AC95" s="78" t="e">
        <f ca="1">SUM($AB$27:AB95)</f>
        <v>#N/A</v>
      </c>
      <c r="AD95" t="e">
        <f t="shared" si="66"/>
        <v>#N/A</v>
      </c>
      <c r="AE95" t="e">
        <f t="shared" si="67"/>
        <v>#N/A</v>
      </c>
      <c r="AF95" t="e">
        <f t="shared" si="68"/>
        <v>#N/A</v>
      </c>
      <c r="AG95" t="e">
        <f t="shared" si="84"/>
        <v>#N/A</v>
      </c>
      <c r="AH95" t="e">
        <f t="shared" si="79"/>
        <v>#N/A</v>
      </c>
      <c r="AI95" t="e">
        <f t="shared" si="80"/>
        <v>#N/A</v>
      </c>
      <c r="AJ95" t="e">
        <f ca="1">SUM($AI$27:AI95)</f>
        <v>#N/A</v>
      </c>
      <c r="AK95" t="e">
        <f t="shared" si="81"/>
        <v>#N/A</v>
      </c>
      <c r="AL95" t="e">
        <f ca="1">SUM($AK$27:AK95)</f>
        <v>#N/A</v>
      </c>
      <c r="AM95" s="244" t="e">
        <f t="shared" ca="1" si="56"/>
        <v>#N/A</v>
      </c>
      <c r="AN95" s="248" t="e">
        <f ca="1">SUM($T$27:T95)+SUM($AM$27:AM95)</f>
        <v>#N/A</v>
      </c>
      <c r="AO95" t="e">
        <f t="shared" ca="1" si="30"/>
        <v>#N/A</v>
      </c>
      <c r="AP95" t="e">
        <f ca="1">SUM($AO$27:AO95)</f>
        <v>#N/A</v>
      </c>
      <c r="AQ95" t="e">
        <f t="shared" si="82"/>
        <v>#N/A</v>
      </c>
      <c r="AR95" t="e">
        <f t="shared" ca="1" si="69"/>
        <v>#N/A</v>
      </c>
      <c r="AS95" t="e">
        <f t="shared" ca="1" si="34"/>
        <v>#N/A</v>
      </c>
      <c r="AT95" t="e">
        <f t="shared" ca="1" si="35"/>
        <v>#N/A</v>
      </c>
      <c r="AU95" t="e">
        <f t="shared" ca="1" si="83"/>
        <v>#N/A</v>
      </c>
      <c r="AZ95" t="e">
        <f t="shared" ca="1" si="70"/>
        <v>#N/A</v>
      </c>
      <c r="BA95" s="105" t="e">
        <f t="shared" ca="1" si="71"/>
        <v>#N/A</v>
      </c>
    </row>
    <row r="96" spans="1:53" x14ac:dyDescent="0.25">
      <c r="B96" s="105">
        <f t="shared" si="72"/>
        <v>69</v>
      </c>
      <c r="C96">
        <f t="shared" si="73"/>
        <v>70</v>
      </c>
      <c r="E96" s="78">
        <f t="shared" si="85"/>
        <v>0</v>
      </c>
      <c r="F96">
        <f t="shared" si="74"/>
        <v>0</v>
      </c>
      <c r="G96" t="e">
        <f ca="1">SUM($F$27:F96)</f>
        <v>#N/A</v>
      </c>
      <c r="H96" t="e">
        <f t="shared" si="58"/>
        <v>#N/A</v>
      </c>
      <c r="I96" t="e">
        <f t="shared" si="59"/>
        <v>#N/A</v>
      </c>
      <c r="J96" t="e">
        <f ca="1">SUM($I$27:I96)</f>
        <v>#N/A</v>
      </c>
      <c r="K96" t="e">
        <f t="shared" si="60"/>
        <v>#N/A</v>
      </c>
      <c r="L96" t="e">
        <f t="shared" si="61"/>
        <v>#N/A</v>
      </c>
      <c r="M96" s="888">
        <f t="shared" si="75"/>
        <v>0.5</v>
      </c>
      <c r="N96" s="248" t="e">
        <f t="shared" si="76"/>
        <v>#N/A</v>
      </c>
      <c r="O96" s="248" t="e">
        <f t="shared" si="77"/>
        <v>#N/A</v>
      </c>
      <c r="P96" s="248" t="e">
        <f t="shared" si="29"/>
        <v>#N/A</v>
      </c>
      <c r="Q96" s="244" t="e">
        <f ca="1">SUM($P$27:P96)+SUM($V$27:V96)</f>
        <v>#N/A</v>
      </c>
      <c r="R96" s="244" t="e">
        <f t="shared" ca="1" si="54"/>
        <v>#N/A</v>
      </c>
      <c r="S96" s="248" t="e">
        <f ca="1">SUM($R$27:R96)</f>
        <v>#N/A</v>
      </c>
      <c r="T96" s="244" t="e">
        <f t="shared" ca="1" si="55"/>
        <v>#N/A</v>
      </c>
      <c r="U96" s="244" t="e">
        <f ca="1">SUM($T$27:T96)</f>
        <v>#N/A</v>
      </c>
      <c r="V96" t="e">
        <f t="shared" si="78"/>
        <v>#N/A</v>
      </c>
      <c r="W96" s="75" t="e">
        <f ca="1">SUM($V$27:V96)</f>
        <v>#N/A</v>
      </c>
      <c r="X96" s="78" t="e">
        <f t="shared" si="62"/>
        <v>#N/A</v>
      </c>
      <c r="Y96" t="e">
        <f t="shared" si="63"/>
        <v>#N/A</v>
      </c>
      <c r="Z96" t="e">
        <f t="shared" si="64"/>
        <v>#N/A</v>
      </c>
      <c r="AA96" s="75" t="e">
        <f ca="1">SUM($Z$27:Z96)</f>
        <v>#N/A</v>
      </c>
      <c r="AB96" t="e">
        <f t="shared" si="65"/>
        <v>#N/A</v>
      </c>
      <c r="AC96" s="78" t="e">
        <f ca="1">SUM($AB$27:AB96)</f>
        <v>#N/A</v>
      </c>
      <c r="AD96" t="e">
        <f t="shared" si="66"/>
        <v>#N/A</v>
      </c>
      <c r="AE96" t="e">
        <f t="shared" si="67"/>
        <v>#N/A</v>
      </c>
      <c r="AF96" t="e">
        <f t="shared" si="68"/>
        <v>#N/A</v>
      </c>
      <c r="AG96" t="e">
        <f t="shared" si="84"/>
        <v>#N/A</v>
      </c>
      <c r="AH96" t="e">
        <f t="shared" si="79"/>
        <v>#N/A</v>
      </c>
      <c r="AI96" t="e">
        <f t="shared" si="80"/>
        <v>#N/A</v>
      </c>
      <c r="AJ96" t="e">
        <f ca="1">SUM($AI$27:AI96)</f>
        <v>#N/A</v>
      </c>
      <c r="AK96" t="e">
        <f t="shared" si="81"/>
        <v>#N/A</v>
      </c>
      <c r="AL96" t="e">
        <f ca="1">SUM($AK$27:AK96)</f>
        <v>#N/A</v>
      </c>
      <c r="AM96" s="244" t="e">
        <f t="shared" ca="1" si="56"/>
        <v>#N/A</v>
      </c>
      <c r="AN96" s="248" t="e">
        <f ca="1">SUM($T$27:T96)+SUM($AM$27:AM96)</f>
        <v>#N/A</v>
      </c>
      <c r="AO96" t="e">
        <f t="shared" ca="1" si="30"/>
        <v>#N/A</v>
      </c>
      <c r="AP96" t="e">
        <f ca="1">SUM($AO$27:AO96)</f>
        <v>#N/A</v>
      </c>
      <c r="AQ96" t="e">
        <f t="shared" si="82"/>
        <v>#N/A</v>
      </c>
      <c r="AR96" t="e">
        <f t="shared" ca="1" si="69"/>
        <v>#N/A</v>
      </c>
      <c r="AS96" t="e">
        <f t="shared" ca="1" si="34"/>
        <v>#N/A</v>
      </c>
      <c r="AT96" t="e">
        <f t="shared" ca="1" si="35"/>
        <v>#N/A</v>
      </c>
      <c r="AU96" t="e">
        <f t="shared" ca="1" si="83"/>
        <v>#N/A</v>
      </c>
      <c r="AZ96" t="e">
        <f t="shared" ca="1" si="70"/>
        <v>#N/A</v>
      </c>
      <c r="BA96" s="105" t="e">
        <f t="shared" ca="1" si="71"/>
        <v>#N/A</v>
      </c>
    </row>
    <row r="97" spans="1:53" x14ac:dyDescent="0.25">
      <c r="B97" s="105">
        <f t="shared" si="72"/>
        <v>70</v>
      </c>
      <c r="C97">
        <f t="shared" si="73"/>
        <v>71</v>
      </c>
      <c r="E97" s="78">
        <f t="shared" si="85"/>
        <v>0</v>
      </c>
      <c r="F97">
        <f t="shared" si="74"/>
        <v>0</v>
      </c>
      <c r="G97" t="e">
        <f ca="1">SUM($F$27:F97)</f>
        <v>#N/A</v>
      </c>
      <c r="H97" t="e">
        <f t="shared" si="58"/>
        <v>#N/A</v>
      </c>
      <c r="I97" t="e">
        <f t="shared" si="59"/>
        <v>#N/A</v>
      </c>
      <c r="J97" t="e">
        <f ca="1">SUM($I$27:I97)</f>
        <v>#N/A</v>
      </c>
      <c r="K97" t="e">
        <f t="shared" si="60"/>
        <v>#N/A</v>
      </c>
      <c r="L97" t="e">
        <f t="shared" si="61"/>
        <v>#N/A</v>
      </c>
      <c r="M97" s="888">
        <f t="shared" si="75"/>
        <v>0.5</v>
      </c>
      <c r="N97" s="248" t="e">
        <f t="shared" si="76"/>
        <v>#N/A</v>
      </c>
      <c r="O97" s="248" t="e">
        <f t="shared" si="77"/>
        <v>#N/A</v>
      </c>
      <c r="P97" s="248" t="e">
        <f t="shared" ref="P97:P106" si="86">ROUND(N93*$D$14+N94*$D$14+N95*$D$14+N96*$D$14+N97*$D$14,0)</f>
        <v>#N/A</v>
      </c>
      <c r="Q97" s="244" t="e">
        <f ca="1">SUM($P$27:P97)+SUM($V$27:V97)</f>
        <v>#N/A</v>
      </c>
      <c r="R97" s="244" t="e">
        <f t="shared" ca="1" si="54"/>
        <v>#N/A</v>
      </c>
      <c r="S97" s="248" t="e">
        <f ca="1">SUM($R$27:R97)</f>
        <v>#N/A</v>
      </c>
      <c r="T97" s="244" t="e">
        <f t="shared" ca="1" si="55"/>
        <v>#N/A</v>
      </c>
      <c r="U97" s="244" t="e">
        <f ca="1">SUM($T$27:T97)</f>
        <v>#N/A</v>
      </c>
      <c r="V97" t="e">
        <f t="shared" si="78"/>
        <v>#N/A</v>
      </c>
      <c r="W97" s="75" t="e">
        <f ca="1">SUM($V$27:V97)</f>
        <v>#N/A</v>
      </c>
      <c r="X97" s="78" t="e">
        <f t="shared" si="62"/>
        <v>#N/A</v>
      </c>
      <c r="Y97" t="e">
        <f t="shared" si="63"/>
        <v>#N/A</v>
      </c>
      <c r="Z97" t="e">
        <f t="shared" si="64"/>
        <v>#N/A</v>
      </c>
      <c r="AA97" s="75" t="e">
        <f ca="1">SUM($Z$27:Z97)</f>
        <v>#N/A</v>
      </c>
      <c r="AB97" t="e">
        <f t="shared" si="65"/>
        <v>#N/A</v>
      </c>
      <c r="AC97" s="78" t="e">
        <f ca="1">SUM($AB$27:AB97)</f>
        <v>#N/A</v>
      </c>
      <c r="AD97" t="e">
        <f t="shared" si="66"/>
        <v>#N/A</v>
      </c>
      <c r="AE97" t="e">
        <f t="shared" si="67"/>
        <v>#N/A</v>
      </c>
      <c r="AF97" t="e">
        <f t="shared" si="68"/>
        <v>#N/A</v>
      </c>
      <c r="AG97" t="e">
        <f t="shared" si="84"/>
        <v>#N/A</v>
      </c>
      <c r="AH97" t="e">
        <f t="shared" si="79"/>
        <v>#N/A</v>
      </c>
      <c r="AI97" t="e">
        <f t="shared" si="80"/>
        <v>#N/A</v>
      </c>
      <c r="AJ97" t="e">
        <f ca="1">SUM($AI$27:AI97)</f>
        <v>#N/A</v>
      </c>
      <c r="AK97" t="e">
        <f t="shared" si="81"/>
        <v>#N/A</v>
      </c>
      <c r="AL97" t="e">
        <f ca="1">SUM($AK$27:AK97)</f>
        <v>#N/A</v>
      </c>
      <c r="AM97" s="244" t="e">
        <f t="shared" ca="1" si="56"/>
        <v>#N/A</v>
      </c>
      <c r="AN97" s="248" t="e">
        <f ca="1">SUM($T$27:T97)+SUM($AM$27:AM97)</f>
        <v>#N/A</v>
      </c>
      <c r="AO97" t="e">
        <f t="shared" ca="1" si="30"/>
        <v>#N/A</v>
      </c>
      <c r="AP97" t="e">
        <f ca="1">SUM($AO$27:AO97)</f>
        <v>#N/A</v>
      </c>
      <c r="AQ97" t="e">
        <f t="shared" si="82"/>
        <v>#N/A</v>
      </c>
      <c r="AR97" t="e">
        <f t="shared" ca="1" si="69"/>
        <v>#N/A</v>
      </c>
      <c r="AS97" t="e">
        <f t="shared" ca="1" si="34"/>
        <v>#N/A</v>
      </c>
      <c r="AT97" t="e">
        <f t="shared" ca="1" si="35"/>
        <v>#N/A</v>
      </c>
      <c r="AU97" t="e">
        <f t="shared" ca="1" si="83"/>
        <v>#N/A</v>
      </c>
      <c r="AZ97" t="e">
        <f t="shared" ca="1" si="70"/>
        <v>#N/A</v>
      </c>
      <c r="BA97" s="105" t="e">
        <f t="shared" ca="1" si="71"/>
        <v>#N/A</v>
      </c>
    </row>
    <row r="98" spans="1:53" x14ac:dyDescent="0.25">
      <c r="B98" s="105">
        <f t="shared" si="72"/>
        <v>71</v>
      </c>
      <c r="C98">
        <f t="shared" si="73"/>
        <v>72</v>
      </c>
      <c r="E98" s="78">
        <f t="shared" si="85"/>
        <v>0</v>
      </c>
      <c r="F98">
        <f t="shared" si="74"/>
        <v>0</v>
      </c>
      <c r="G98" t="e">
        <f ca="1">SUM($F$27:F98)</f>
        <v>#N/A</v>
      </c>
      <c r="H98" t="e">
        <f t="shared" si="58"/>
        <v>#N/A</v>
      </c>
      <c r="I98" t="e">
        <f t="shared" si="59"/>
        <v>#N/A</v>
      </c>
      <c r="J98" t="e">
        <f ca="1">SUM($I$27:I98)</f>
        <v>#N/A</v>
      </c>
      <c r="K98" t="e">
        <f t="shared" si="60"/>
        <v>#N/A</v>
      </c>
      <c r="L98" t="e">
        <f t="shared" si="61"/>
        <v>#N/A</v>
      </c>
      <c r="M98" s="888">
        <f t="shared" si="75"/>
        <v>0.5</v>
      </c>
      <c r="N98" s="248" t="e">
        <f t="shared" si="76"/>
        <v>#N/A</v>
      </c>
      <c r="O98" s="248" t="e">
        <f t="shared" si="77"/>
        <v>#N/A</v>
      </c>
      <c r="P98" s="248" t="e">
        <f t="shared" si="86"/>
        <v>#N/A</v>
      </c>
      <c r="Q98" s="244" t="e">
        <f ca="1">SUM($P$27:P98)+SUM($V$27:V98)</f>
        <v>#N/A</v>
      </c>
      <c r="R98" s="244" t="e">
        <f t="shared" ca="1" si="54"/>
        <v>#N/A</v>
      </c>
      <c r="S98" s="248" t="e">
        <f ca="1">SUM($R$27:R98)</f>
        <v>#N/A</v>
      </c>
      <c r="T98" s="244" t="e">
        <f t="shared" ca="1" si="55"/>
        <v>#N/A</v>
      </c>
      <c r="U98" s="244" t="e">
        <f ca="1">SUM($T$27:T98)</f>
        <v>#N/A</v>
      </c>
      <c r="V98" t="e">
        <f t="shared" si="78"/>
        <v>#N/A</v>
      </c>
      <c r="W98" s="75" t="e">
        <f ca="1">SUM($V$27:V98)</f>
        <v>#N/A</v>
      </c>
      <c r="X98" s="78" t="e">
        <f t="shared" si="62"/>
        <v>#N/A</v>
      </c>
      <c r="Y98" t="e">
        <f t="shared" si="63"/>
        <v>#N/A</v>
      </c>
      <c r="Z98" t="e">
        <f t="shared" si="64"/>
        <v>#N/A</v>
      </c>
      <c r="AA98" s="75" t="e">
        <f ca="1">SUM($Z$27:Z98)</f>
        <v>#N/A</v>
      </c>
      <c r="AB98" t="e">
        <f t="shared" si="65"/>
        <v>#N/A</v>
      </c>
      <c r="AC98" s="78" t="e">
        <f ca="1">SUM($AB$27:AB98)</f>
        <v>#N/A</v>
      </c>
      <c r="AD98" t="e">
        <f t="shared" si="66"/>
        <v>#N/A</v>
      </c>
      <c r="AE98" t="e">
        <f t="shared" si="67"/>
        <v>#N/A</v>
      </c>
      <c r="AF98" t="e">
        <f t="shared" si="68"/>
        <v>#N/A</v>
      </c>
      <c r="AG98" t="e">
        <f t="shared" si="84"/>
        <v>#N/A</v>
      </c>
      <c r="AH98" t="e">
        <f t="shared" si="79"/>
        <v>#N/A</v>
      </c>
      <c r="AI98" t="e">
        <f t="shared" si="80"/>
        <v>#N/A</v>
      </c>
      <c r="AJ98" t="e">
        <f ca="1">SUM($AI$27:AI98)</f>
        <v>#N/A</v>
      </c>
      <c r="AK98" t="e">
        <f t="shared" si="81"/>
        <v>#N/A</v>
      </c>
      <c r="AL98" t="e">
        <f ca="1">SUM($AK$27:AK98)</f>
        <v>#N/A</v>
      </c>
      <c r="AM98" s="244" t="e">
        <f t="shared" ca="1" si="56"/>
        <v>#N/A</v>
      </c>
      <c r="AN98" s="248" t="e">
        <f ca="1">SUM($T$27:T98)+SUM($AM$27:AM98)</f>
        <v>#N/A</v>
      </c>
      <c r="AO98" t="e">
        <f t="shared" ref="AO98:AO106" ca="1" si="87">SUM(AM98,T98,R98)</f>
        <v>#N/A</v>
      </c>
      <c r="AP98" t="e">
        <f ca="1">SUM($AO$27:AO98)</f>
        <v>#N/A</v>
      </c>
      <c r="AQ98" t="e">
        <f t="shared" si="82"/>
        <v>#N/A</v>
      </c>
      <c r="AR98" t="e">
        <f t="shared" ca="1" si="69"/>
        <v>#N/A</v>
      </c>
      <c r="AS98" t="e">
        <f t="shared" ca="1" si="34"/>
        <v>#N/A</v>
      </c>
      <c r="AT98" t="e">
        <f t="shared" ca="1" si="35"/>
        <v>#N/A</v>
      </c>
      <c r="AU98" t="e">
        <f t="shared" ca="1" si="83"/>
        <v>#N/A</v>
      </c>
      <c r="AZ98" t="e">
        <f t="shared" ca="1" si="70"/>
        <v>#N/A</v>
      </c>
      <c r="BA98" s="105" t="e">
        <f t="shared" ca="1" si="71"/>
        <v>#N/A</v>
      </c>
    </row>
    <row r="99" spans="1:53" x14ac:dyDescent="0.25">
      <c r="B99" s="105">
        <f t="shared" si="72"/>
        <v>72</v>
      </c>
      <c r="C99">
        <f t="shared" si="73"/>
        <v>73</v>
      </c>
      <c r="E99" s="78">
        <f t="shared" si="85"/>
        <v>0</v>
      </c>
      <c r="F99">
        <f t="shared" si="74"/>
        <v>0</v>
      </c>
      <c r="G99" t="e">
        <f ca="1">SUM($F$27:F99)</f>
        <v>#N/A</v>
      </c>
      <c r="H99" t="e">
        <f t="shared" si="58"/>
        <v>#N/A</v>
      </c>
      <c r="I99" t="e">
        <f t="shared" si="59"/>
        <v>#N/A</v>
      </c>
      <c r="J99" t="e">
        <f ca="1">SUM($I$27:I99)</f>
        <v>#N/A</v>
      </c>
      <c r="K99" t="e">
        <f t="shared" si="60"/>
        <v>#N/A</v>
      </c>
      <c r="L99" t="e">
        <f t="shared" si="61"/>
        <v>#N/A</v>
      </c>
      <c r="M99" s="888">
        <f t="shared" si="75"/>
        <v>0.5</v>
      </c>
      <c r="N99" s="248" t="e">
        <f t="shared" si="76"/>
        <v>#N/A</v>
      </c>
      <c r="O99" s="248" t="e">
        <f t="shared" si="77"/>
        <v>#N/A</v>
      </c>
      <c r="P99" s="248" t="e">
        <f t="shared" si="86"/>
        <v>#N/A</v>
      </c>
      <c r="Q99" s="244" t="e">
        <f ca="1">SUM($P$27:P99)+SUM($V$27:V99)</f>
        <v>#N/A</v>
      </c>
      <c r="R99" s="244" t="e">
        <f t="shared" ca="1" si="54"/>
        <v>#N/A</v>
      </c>
      <c r="S99" s="248" t="e">
        <f ca="1">SUM($R$27:R99)</f>
        <v>#N/A</v>
      </c>
      <c r="T99" s="244" t="e">
        <f t="shared" ca="1" si="55"/>
        <v>#N/A</v>
      </c>
      <c r="U99" s="244" t="e">
        <f ca="1">SUM($T$27:T99)</f>
        <v>#N/A</v>
      </c>
      <c r="V99" t="e">
        <f t="shared" si="78"/>
        <v>#N/A</v>
      </c>
      <c r="W99" s="75" t="e">
        <f ca="1">SUM($V$27:V99)</f>
        <v>#N/A</v>
      </c>
      <c r="X99" s="78" t="e">
        <f t="shared" si="62"/>
        <v>#N/A</v>
      </c>
      <c r="Y99" t="e">
        <f t="shared" si="63"/>
        <v>#N/A</v>
      </c>
      <c r="Z99" t="e">
        <f t="shared" si="64"/>
        <v>#N/A</v>
      </c>
      <c r="AA99" s="75" t="e">
        <f ca="1">SUM($Z$27:Z99)</f>
        <v>#N/A</v>
      </c>
      <c r="AB99" t="e">
        <f t="shared" si="65"/>
        <v>#N/A</v>
      </c>
      <c r="AC99" s="78" t="e">
        <f ca="1">SUM($AB$27:AB99)</f>
        <v>#N/A</v>
      </c>
      <c r="AD99" t="e">
        <f t="shared" si="66"/>
        <v>#N/A</v>
      </c>
      <c r="AE99" t="e">
        <f t="shared" si="67"/>
        <v>#N/A</v>
      </c>
      <c r="AF99" t="e">
        <f t="shared" si="68"/>
        <v>#N/A</v>
      </c>
      <c r="AG99" t="e">
        <f t="shared" si="84"/>
        <v>#N/A</v>
      </c>
      <c r="AH99" t="e">
        <f t="shared" si="79"/>
        <v>#N/A</v>
      </c>
      <c r="AI99" t="e">
        <f t="shared" si="80"/>
        <v>#N/A</v>
      </c>
      <c r="AJ99" t="e">
        <f ca="1">SUM($AI$27:AI99)</f>
        <v>#N/A</v>
      </c>
      <c r="AK99" t="e">
        <f t="shared" si="81"/>
        <v>#N/A</v>
      </c>
      <c r="AL99" t="e">
        <f ca="1">SUM($AK$27:AK99)</f>
        <v>#N/A</v>
      </c>
      <c r="AM99" s="244" t="e">
        <f t="shared" ca="1" si="56"/>
        <v>#N/A</v>
      </c>
      <c r="AN99" s="248" t="e">
        <f ca="1">SUM($T$27:T99)+SUM($AM$27:AM99)</f>
        <v>#N/A</v>
      </c>
      <c r="AO99" t="e">
        <f t="shared" ca="1" si="87"/>
        <v>#N/A</v>
      </c>
      <c r="AP99" t="e">
        <f ca="1">SUM($AO$27:AO99)</f>
        <v>#N/A</v>
      </c>
      <c r="AQ99" t="e">
        <f t="shared" si="82"/>
        <v>#N/A</v>
      </c>
      <c r="AR99" t="e">
        <f t="shared" ca="1" si="69"/>
        <v>#N/A</v>
      </c>
      <c r="AS99" t="e">
        <f t="shared" ca="1" si="34"/>
        <v>#N/A</v>
      </c>
      <c r="AT99" t="e">
        <f t="shared" ca="1" si="35"/>
        <v>#N/A</v>
      </c>
      <c r="AU99" t="e">
        <f t="shared" ca="1" si="83"/>
        <v>#N/A</v>
      </c>
      <c r="AZ99" t="e">
        <f t="shared" ca="1" si="70"/>
        <v>#N/A</v>
      </c>
      <c r="BA99" s="105" t="e">
        <f t="shared" ca="1" si="71"/>
        <v>#N/A</v>
      </c>
    </row>
    <row r="100" spans="1:53" x14ac:dyDescent="0.25">
      <c r="B100" s="105">
        <f t="shared" si="72"/>
        <v>73</v>
      </c>
      <c r="C100">
        <f t="shared" si="73"/>
        <v>74</v>
      </c>
      <c r="E100" s="78">
        <f t="shared" si="85"/>
        <v>0</v>
      </c>
      <c r="F100">
        <f t="shared" si="74"/>
        <v>0</v>
      </c>
      <c r="G100" t="e">
        <f ca="1">SUM($F$27:F100)</f>
        <v>#N/A</v>
      </c>
      <c r="H100" t="e">
        <f t="shared" si="58"/>
        <v>#N/A</v>
      </c>
      <c r="I100" t="e">
        <f t="shared" si="59"/>
        <v>#N/A</v>
      </c>
      <c r="J100" t="e">
        <f ca="1">SUM($I$27:I100)</f>
        <v>#N/A</v>
      </c>
      <c r="K100" t="e">
        <f t="shared" si="60"/>
        <v>#N/A</v>
      </c>
      <c r="L100" t="e">
        <f t="shared" si="61"/>
        <v>#N/A</v>
      </c>
      <c r="M100" s="888">
        <f t="shared" si="75"/>
        <v>0.5</v>
      </c>
      <c r="N100" s="248" t="e">
        <f t="shared" si="76"/>
        <v>#N/A</v>
      </c>
      <c r="O100" s="248" t="e">
        <f t="shared" si="77"/>
        <v>#N/A</v>
      </c>
      <c r="P100" s="248" t="e">
        <f t="shared" si="86"/>
        <v>#N/A</v>
      </c>
      <c r="Q100" s="244" t="e">
        <f ca="1">SUM($P$27:P100)+SUM($V$27:V100)</f>
        <v>#N/A</v>
      </c>
      <c r="R100" s="244" t="e">
        <f t="shared" ca="1" si="54"/>
        <v>#N/A</v>
      </c>
      <c r="S100" s="248" t="e">
        <f ca="1">SUM($R$27:R100)</f>
        <v>#N/A</v>
      </c>
      <c r="T100" s="244" t="e">
        <f t="shared" ca="1" si="55"/>
        <v>#N/A</v>
      </c>
      <c r="U100" s="244" t="e">
        <f ca="1">SUM($T$27:T100)</f>
        <v>#N/A</v>
      </c>
      <c r="V100" t="e">
        <f t="shared" si="78"/>
        <v>#N/A</v>
      </c>
      <c r="W100" s="75" t="e">
        <f ca="1">SUM($V$27:V100)</f>
        <v>#N/A</v>
      </c>
      <c r="X100" s="78" t="e">
        <f t="shared" si="62"/>
        <v>#N/A</v>
      </c>
      <c r="Y100" t="e">
        <f t="shared" si="63"/>
        <v>#N/A</v>
      </c>
      <c r="Z100" t="e">
        <f t="shared" si="64"/>
        <v>#N/A</v>
      </c>
      <c r="AA100" s="75" t="e">
        <f ca="1">SUM($Z$27:Z100)</f>
        <v>#N/A</v>
      </c>
      <c r="AB100" t="e">
        <f t="shared" si="65"/>
        <v>#N/A</v>
      </c>
      <c r="AC100" s="78" t="e">
        <f ca="1">SUM($AB$27:AB100)</f>
        <v>#N/A</v>
      </c>
      <c r="AD100" t="e">
        <f t="shared" si="66"/>
        <v>#N/A</v>
      </c>
      <c r="AE100" t="e">
        <f t="shared" si="67"/>
        <v>#N/A</v>
      </c>
      <c r="AF100" t="e">
        <f t="shared" si="68"/>
        <v>#N/A</v>
      </c>
      <c r="AG100" t="e">
        <f t="shared" si="84"/>
        <v>#N/A</v>
      </c>
      <c r="AH100" t="e">
        <f t="shared" si="79"/>
        <v>#N/A</v>
      </c>
      <c r="AI100" t="e">
        <f t="shared" si="80"/>
        <v>#N/A</v>
      </c>
      <c r="AJ100" t="e">
        <f ca="1">SUM($AI$27:AI100)</f>
        <v>#N/A</v>
      </c>
      <c r="AK100" t="e">
        <f t="shared" si="81"/>
        <v>#N/A</v>
      </c>
      <c r="AL100" t="e">
        <f ca="1">SUM($AK$27:AK100)</f>
        <v>#N/A</v>
      </c>
      <c r="AM100" s="244" t="e">
        <f t="shared" ca="1" si="56"/>
        <v>#N/A</v>
      </c>
      <c r="AN100" s="248" t="e">
        <f ca="1">SUM($T$27:T100)+SUM($AM$27:AM100)</f>
        <v>#N/A</v>
      </c>
      <c r="AO100" t="e">
        <f t="shared" ca="1" si="87"/>
        <v>#N/A</v>
      </c>
      <c r="AP100" t="e">
        <f ca="1">SUM($AO$27:AO100)</f>
        <v>#N/A</v>
      </c>
      <c r="AQ100" t="e">
        <f t="shared" si="82"/>
        <v>#N/A</v>
      </c>
      <c r="AR100" t="e">
        <f t="shared" ca="1" si="69"/>
        <v>#N/A</v>
      </c>
      <c r="AS100" t="e">
        <f t="shared" ca="1" si="34"/>
        <v>#N/A</v>
      </c>
      <c r="AT100" t="e">
        <f t="shared" ca="1" si="35"/>
        <v>#N/A</v>
      </c>
      <c r="AU100" t="e">
        <f t="shared" ca="1" si="83"/>
        <v>#N/A</v>
      </c>
      <c r="AZ100" t="e">
        <f t="shared" ca="1" si="70"/>
        <v>#N/A</v>
      </c>
      <c r="BA100" s="105" t="e">
        <f t="shared" ca="1" si="71"/>
        <v>#N/A</v>
      </c>
    </row>
    <row r="101" spans="1:53" x14ac:dyDescent="0.25">
      <c r="B101" s="105">
        <f t="shared" si="72"/>
        <v>74</v>
      </c>
      <c r="C101">
        <f t="shared" si="73"/>
        <v>75</v>
      </c>
      <c r="E101" s="78">
        <f t="shared" si="85"/>
        <v>0</v>
      </c>
      <c r="F101">
        <f t="shared" si="74"/>
        <v>0</v>
      </c>
      <c r="G101" t="e">
        <f ca="1">SUM($F$27:F101)</f>
        <v>#N/A</v>
      </c>
      <c r="H101" t="e">
        <f t="shared" si="58"/>
        <v>#N/A</v>
      </c>
      <c r="I101" t="e">
        <f t="shared" si="59"/>
        <v>#N/A</v>
      </c>
      <c r="J101" t="e">
        <f ca="1">SUM($I$27:I101)</f>
        <v>#N/A</v>
      </c>
      <c r="K101" t="e">
        <f t="shared" si="60"/>
        <v>#N/A</v>
      </c>
      <c r="L101" t="e">
        <f t="shared" si="61"/>
        <v>#N/A</v>
      </c>
      <c r="M101" s="888">
        <f t="shared" si="75"/>
        <v>0.5</v>
      </c>
      <c r="N101" s="248" t="e">
        <f t="shared" si="76"/>
        <v>#N/A</v>
      </c>
      <c r="O101" s="248" t="e">
        <f t="shared" si="77"/>
        <v>#N/A</v>
      </c>
      <c r="P101" s="248" t="e">
        <f t="shared" si="86"/>
        <v>#N/A</v>
      </c>
      <c r="Q101" s="244" t="e">
        <f ca="1">SUM($P$27:P101)+SUM($V$27:V101)</f>
        <v>#N/A</v>
      </c>
      <c r="R101" s="244" t="e">
        <f t="shared" ca="1" si="54"/>
        <v>#N/A</v>
      </c>
      <c r="S101" s="248" t="e">
        <f ca="1">SUM($R$27:R101)</f>
        <v>#N/A</v>
      </c>
      <c r="T101" s="244" t="e">
        <f t="shared" ca="1" si="55"/>
        <v>#N/A</v>
      </c>
      <c r="U101" s="244" t="e">
        <f ca="1">SUM($T$27:T101)</f>
        <v>#N/A</v>
      </c>
      <c r="V101" t="e">
        <f t="shared" si="78"/>
        <v>#N/A</v>
      </c>
      <c r="W101" s="75" t="e">
        <f ca="1">SUM($V$27:V101)</f>
        <v>#N/A</v>
      </c>
      <c r="X101" s="78" t="e">
        <f t="shared" si="62"/>
        <v>#N/A</v>
      </c>
      <c r="Y101" t="e">
        <f t="shared" si="63"/>
        <v>#N/A</v>
      </c>
      <c r="Z101" t="e">
        <f t="shared" si="64"/>
        <v>#N/A</v>
      </c>
      <c r="AA101" s="75" t="e">
        <f ca="1">SUM($Z$27:Z101)</f>
        <v>#N/A</v>
      </c>
      <c r="AB101" t="e">
        <f t="shared" si="65"/>
        <v>#N/A</v>
      </c>
      <c r="AC101" s="78" t="e">
        <f ca="1">SUM($AB$27:AB101)</f>
        <v>#N/A</v>
      </c>
      <c r="AD101" t="e">
        <f t="shared" si="66"/>
        <v>#N/A</v>
      </c>
      <c r="AE101" t="e">
        <f t="shared" si="67"/>
        <v>#N/A</v>
      </c>
      <c r="AF101" t="e">
        <f t="shared" si="68"/>
        <v>#N/A</v>
      </c>
      <c r="AG101" t="e">
        <f t="shared" si="84"/>
        <v>#N/A</v>
      </c>
      <c r="AH101" t="e">
        <f t="shared" si="79"/>
        <v>#N/A</v>
      </c>
      <c r="AI101" t="e">
        <f t="shared" si="80"/>
        <v>#N/A</v>
      </c>
      <c r="AJ101" t="e">
        <f ca="1">SUM($AI$27:AI101)</f>
        <v>#N/A</v>
      </c>
      <c r="AK101" t="e">
        <f t="shared" si="81"/>
        <v>#N/A</v>
      </c>
      <c r="AL101" t="e">
        <f ca="1">SUM($AK$27:AK101)</f>
        <v>#N/A</v>
      </c>
      <c r="AM101" s="244" t="e">
        <f t="shared" ca="1" si="56"/>
        <v>#N/A</v>
      </c>
      <c r="AN101" s="248" t="e">
        <f ca="1">SUM($T$27:T101)+SUM($AM$27:AM101)</f>
        <v>#N/A</v>
      </c>
      <c r="AO101" t="e">
        <f t="shared" ca="1" si="87"/>
        <v>#N/A</v>
      </c>
      <c r="AP101" t="e">
        <f ca="1">SUM($AO$27:AO101)</f>
        <v>#N/A</v>
      </c>
      <c r="AQ101" t="e">
        <f t="shared" si="82"/>
        <v>#N/A</v>
      </c>
      <c r="AR101" t="e">
        <f t="shared" ca="1" si="69"/>
        <v>#N/A</v>
      </c>
      <c r="AS101" t="e">
        <f t="shared" ca="1" si="34"/>
        <v>#N/A</v>
      </c>
      <c r="AT101" t="e">
        <f t="shared" ca="1" si="35"/>
        <v>#N/A</v>
      </c>
      <c r="AU101" t="e">
        <f t="shared" ca="1" si="83"/>
        <v>#N/A</v>
      </c>
      <c r="AZ101" t="e">
        <f t="shared" ca="1" si="70"/>
        <v>#N/A</v>
      </c>
      <c r="BA101" s="105" t="e">
        <f t="shared" ca="1" si="71"/>
        <v>#N/A</v>
      </c>
    </row>
    <row r="102" spans="1:53" x14ac:dyDescent="0.25">
      <c r="B102" s="105">
        <f t="shared" si="72"/>
        <v>75</v>
      </c>
      <c r="C102">
        <f t="shared" si="73"/>
        <v>76</v>
      </c>
      <c r="E102" s="78">
        <f t="shared" si="85"/>
        <v>0</v>
      </c>
      <c r="F102">
        <f t="shared" si="74"/>
        <v>0</v>
      </c>
      <c r="G102" t="e">
        <f ca="1">SUM($F$27:F102)</f>
        <v>#N/A</v>
      </c>
      <c r="H102" t="e">
        <f t="shared" si="58"/>
        <v>#N/A</v>
      </c>
      <c r="I102" t="e">
        <f t="shared" si="59"/>
        <v>#N/A</v>
      </c>
      <c r="J102" t="e">
        <f ca="1">SUM($I$27:I102)</f>
        <v>#N/A</v>
      </c>
      <c r="K102" t="e">
        <f t="shared" si="60"/>
        <v>#N/A</v>
      </c>
      <c r="L102" t="e">
        <f t="shared" si="61"/>
        <v>#N/A</v>
      </c>
      <c r="M102" s="888">
        <f t="shared" si="75"/>
        <v>0.5</v>
      </c>
      <c r="N102" s="248" t="e">
        <f t="shared" si="76"/>
        <v>#N/A</v>
      </c>
      <c r="O102" s="248" t="e">
        <f t="shared" si="77"/>
        <v>#N/A</v>
      </c>
      <c r="P102" s="248" t="e">
        <f t="shared" si="86"/>
        <v>#N/A</v>
      </c>
      <c r="Q102" s="244" t="e">
        <f ca="1">SUM($P$27:P102)+SUM($V$27:V102)</f>
        <v>#N/A</v>
      </c>
      <c r="R102" s="244" t="e">
        <f t="shared" ca="1" si="54"/>
        <v>#N/A</v>
      </c>
      <c r="S102" s="248" t="e">
        <f ca="1">SUM($R$27:R102)</f>
        <v>#N/A</v>
      </c>
      <c r="T102" s="244" t="e">
        <f t="shared" ca="1" si="55"/>
        <v>#N/A</v>
      </c>
      <c r="U102" s="244" t="e">
        <f ca="1">SUM($T$27:T102)</f>
        <v>#N/A</v>
      </c>
      <c r="V102" t="e">
        <f t="shared" si="78"/>
        <v>#N/A</v>
      </c>
      <c r="W102" s="75" t="e">
        <f ca="1">SUM($V$27:V102)</f>
        <v>#N/A</v>
      </c>
      <c r="X102" s="78" t="e">
        <f t="shared" si="62"/>
        <v>#N/A</v>
      </c>
      <c r="Y102" t="e">
        <f t="shared" si="63"/>
        <v>#N/A</v>
      </c>
      <c r="Z102" t="e">
        <f t="shared" si="64"/>
        <v>#N/A</v>
      </c>
      <c r="AA102" s="75" t="e">
        <f ca="1">SUM($Z$27:Z102)</f>
        <v>#N/A</v>
      </c>
      <c r="AB102" t="e">
        <f t="shared" si="65"/>
        <v>#N/A</v>
      </c>
      <c r="AC102" s="78" t="e">
        <f ca="1">SUM($AB$27:AB102)</f>
        <v>#N/A</v>
      </c>
      <c r="AD102" t="e">
        <f t="shared" si="66"/>
        <v>#N/A</v>
      </c>
      <c r="AE102" t="e">
        <f t="shared" si="67"/>
        <v>#N/A</v>
      </c>
      <c r="AF102" t="e">
        <f t="shared" si="68"/>
        <v>#N/A</v>
      </c>
      <c r="AG102" t="e">
        <f t="shared" si="84"/>
        <v>#N/A</v>
      </c>
      <c r="AH102" t="e">
        <f t="shared" si="79"/>
        <v>#N/A</v>
      </c>
      <c r="AI102" t="e">
        <f t="shared" si="80"/>
        <v>#N/A</v>
      </c>
      <c r="AJ102" t="e">
        <f ca="1">SUM($AI$27:AI102)</f>
        <v>#N/A</v>
      </c>
      <c r="AK102" t="e">
        <f t="shared" si="81"/>
        <v>#N/A</v>
      </c>
      <c r="AL102" t="e">
        <f ca="1">SUM($AK$27:AK102)</f>
        <v>#N/A</v>
      </c>
      <c r="AM102" s="244" t="e">
        <f t="shared" ca="1" si="56"/>
        <v>#N/A</v>
      </c>
      <c r="AN102" s="248" t="e">
        <f ca="1">SUM($T$27:T102)+SUM($AM$27:AM102)</f>
        <v>#N/A</v>
      </c>
      <c r="AO102" t="e">
        <f t="shared" ca="1" si="87"/>
        <v>#N/A</v>
      </c>
      <c r="AP102" t="e">
        <f ca="1">SUM($AO$27:AO102)</f>
        <v>#N/A</v>
      </c>
      <c r="AQ102" t="e">
        <f t="shared" si="82"/>
        <v>#N/A</v>
      </c>
      <c r="AR102" t="e">
        <f t="shared" ca="1" si="69"/>
        <v>#N/A</v>
      </c>
      <c r="AS102" t="e">
        <f t="shared" ca="1" si="34"/>
        <v>#N/A</v>
      </c>
      <c r="AT102" t="e">
        <f t="shared" ca="1" si="35"/>
        <v>#N/A</v>
      </c>
      <c r="AU102" t="e">
        <f t="shared" ca="1" si="83"/>
        <v>#N/A</v>
      </c>
      <c r="AZ102" t="e">
        <f t="shared" ca="1" si="70"/>
        <v>#N/A</v>
      </c>
      <c r="BA102" s="105" t="e">
        <f t="shared" ca="1" si="71"/>
        <v>#N/A</v>
      </c>
    </row>
    <row r="103" spans="1:53" x14ac:dyDescent="0.25">
      <c r="B103" s="105">
        <f t="shared" si="72"/>
        <v>76</v>
      </c>
      <c r="C103">
        <f t="shared" si="73"/>
        <v>77</v>
      </c>
      <c r="E103" s="78">
        <f t="shared" si="85"/>
        <v>0</v>
      </c>
      <c r="F103">
        <f t="shared" si="74"/>
        <v>0</v>
      </c>
      <c r="G103" t="e">
        <f ca="1">SUM($F$27:F103)</f>
        <v>#N/A</v>
      </c>
      <c r="H103" t="e">
        <f t="shared" si="58"/>
        <v>#N/A</v>
      </c>
      <c r="I103" t="e">
        <f t="shared" si="59"/>
        <v>#N/A</v>
      </c>
      <c r="J103" t="e">
        <f ca="1">SUM($I$27:I103)</f>
        <v>#N/A</v>
      </c>
      <c r="K103" t="e">
        <f t="shared" si="60"/>
        <v>#N/A</v>
      </c>
      <c r="L103" t="e">
        <f t="shared" si="61"/>
        <v>#N/A</v>
      </c>
      <c r="M103" s="888">
        <f t="shared" si="75"/>
        <v>0.5</v>
      </c>
      <c r="N103" s="248" t="e">
        <f t="shared" si="76"/>
        <v>#N/A</v>
      </c>
      <c r="O103" s="248" t="e">
        <f t="shared" si="77"/>
        <v>#N/A</v>
      </c>
      <c r="P103" s="248" t="e">
        <f t="shared" si="86"/>
        <v>#N/A</v>
      </c>
      <c r="Q103" s="244" t="e">
        <f ca="1">SUM($P$27:P103)+SUM($V$27:V103)</f>
        <v>#N/A</v>
      </c>
      <c r="R103" s="244" t="e">
        <f t="shared" ca="1" si="54"/>
        <v>#N/A</v>
      </c>
      <c r="S103" s="248" t="e">
        <f ca="1">SUM($R$27:R103)</f>
        <v>#N/A</v>
      </c>
      <c r="T103" s="244" t="e">
        <f t="shared" ca="1" si="55"/>
        <v>#N/A</v>
      </c>
      <c r="U103" s="244" t="e">
        <f ca="1">SUM($T$27:T103)</f>
        <v>#N/A</v>
      </c>
      <c r="V103" t="e">
        <f t="shared" si="78"/>
        <v>#N/A</v>
      </c>
      <c r="W103" s="75" t="e">
        <f ca="1">SUM($V$27:V103)</f>
        <v>#N/A</v>
      </c>
      <c r="X103" s="78" t="e">
        <f t="shared" si="62"/>
        <v>#N/A</v>
      </c>
      <c r="Y103" t="e">
        <f t="shared" si="63"/>
        <v>#N/A</v>
      </c>
      <c r="Z103" t="e">
        <f t="shared" si="64"/>
        <v>#N/A</v>
      </c>
      <c r="AA103" s="75" t="e">
        <f ca="1">SUM($Z$27:Z103)</f>
        <v>#N/A</v>
      </c>
      <c r="AB103" t="e">
        <f t="shared" si="65"/>
        <v>#N/A</v>
      </c>
      <c r="AC103" s="78" t="e">
        <f ca="1">SUM($AB$27:AB103)</f>
        <v>#N/A</v>
      </c>
      <c r="AD103" t="e">
        <f t="shared" si="66"/>
        <v>#N/A</v>
      </c>
      <c r="AE103" t="e">
        <f t="shared" si="67"/>
        <v>#N/A</v>
      </c>
      <c r="AF103" t="e">
        <f t="shared" si="68"/>
        <v>#N/A</v>
      </c>
      <c r="AG103" t="e">
        <f t="shared" si="84"/>
        <v>#N/A</v>
      </c>
      <c r="AH103" t="e">
        <f t="shared" si="79"/>
        <v>#N/A</v>
      </c>
      <c r="AI103" t="e">
        <f t="shared" si="80"/>
        <v>#N/A</v>
      </c>
      <c r="AJ103" t="e">
        <f ca="1">SUM($AI$27:AI103)</f>
        <v>#N/A</v>
      </c>
      <c r="AK103" t="e">
        <f t="shared" si="81"/>
        <v>#N/A</v>
      </c>
      <c r="AL103" t="e">
        <f ca="1">SUM($AK$27:AK103)</f>
        <v>#N/A</v>
      </c>
      <c r="AM103" s="244" t="e">
        <f t="shared" ca="1" si="56"/>
        <v>#N/A</v>
      </c>
      <c r="AN103" s="248" t="e">
        <f ca="1">SUM($T$27:T103)+SUM($AM$27:AM103)</f>
        <v>#N/A</v>
      </c>
      <c r="AO103" t="e">
        <f t="shared" ca="1" si="87"/>
        <v>#N/A</v>
      </c>
      <c r="AP103" t="e">
        <f ca="1">SUM($AO$27:AO103)</f>
        <v>#N/A</v>
      </c>
      <c r="AQ103" t="e">
        <f t="shared" si="82"/>
        <v>#N/A</v>
      </c>
      <c r="AR103" t="e">
        <f t="shared" ca="1" si="69"/>
        <v>#N/A</v>
      </c>
      <c r="AS103" t="e">
        <f t="shared" ca="1" si="34"/>
        <v>#N/A</v>
      </c>
      <c r="AT103" t="e">
        <f t="shared" ca="1" si="35"/>
        <v>#N/A</v>
      </c>
      <c r="AU103" t="e">
        <f t="shared" ca="1" si="83"/>
        <v>#N/A</v>
      </c>
      <c r="AZ103" t="e">
        <f t="shared" ca="1" si="70"/>
        <v>#N/A</v>
      </c>
      <c r="BA103" s="105" t="e">
        <f t="shared" ca="1" si="71"/>
        <v>#N/A</v>
      </c>
    </row>
    <row r="104" spans="1:53" x14ac:dyDescent="0.25">
      <c r="B104" s="105">
        <f t="shared" si="72"/>
        <v>77</v>
      </c>
      <c r="C104">
        <f t="shared" si="73"/>
        <v>78</v>
      </c>
      <c r="E104" s="78">
        <f t="shared" si="85"/>
        <v>0</v>
      </c>
      <c r="F104">
        <f t="shared" si="74"/>
        <v>0</v>
      </c>
      <c r="G104" t="e">
        <f ca="1">SUM($F$27:F104)</f>
        <v>#N/A</v>
      </c>
      <c r="H104" t="e">
        <f t="shared" si="58"/>
        <v>#N/A</v>
      </c>
      <c r="I104" t="e">
        <f t="shared" si="59"/>
        <v>#N/A</v>
      </c>
      <c r="J104" t="e">
        <f ca="1">SUM($I$27:I104)</f>
        <v>#N/A</v>
      </c>
      <c r="K104" t="e">
        <f t="shared" si="60"/>
        <v>#N/A</v>
      </c>
      <c r="L104" t="e">
        <f t="shared" si="61"/>
        <v>#N/A</v>
      </c>
      <c r="M104" s="888">
        <f t="shared" si="75"/>
        <v>0.5</v>
      </c>
      <c r="N104" s="248" t="e">
        <f t="shared" si="76"/>
        <v>#N/A</v>
      </c>
      <c r="O104" s="248" t="e">
        <f t="shared" si="77"/>
        <v>#N/A</v>
      </c>
      <c r="P104" s="248" t="e">
        <f t="shared" si="86"/>
        <v>#N/A</v>
      </c>
      <c r="Q104" s="244" t="e">
        <f ca="1">SUM($P$27:P104)+SUM($V$27:V104)</f>
        <v>#N/A</v>
      </c>
      <c r="R104" s="244" t="e">
        <f t="shared" ca="1" si="54"/>
        <v>#N/A</v>
      </c>
      <c r="S104" s="248" t="e">
        <f ca="1">SUM($R$27:R104)</f>
        <v>#N/A</v>
      </c>
      <c r="T104" s="244" t="e">
        <f t="shared" ca="1" si="55"/>
        <v>#N/A</v>
      </c>
      <c r="U104" s="244" t="e">
        <f ca="1">SUM($T$27:T104)</f>
        <v>#N/A</v>
      </c>
      <c r="V104" t="e">
        <f t="shared" si="78"/>
        <v>#N/A</v>
      </c>
      <c r="W104" s="75" t="e">
        <f ca="1">SUM($V$27:V104)</f>
        <v>#N/A</v>
      </c>
      <c r="X104" s="78" t="e">
        <f t="shared" si="62"/>
        <v>#N/A</v>
      </c>
      <c r="Y104" t="e">
        <f t="shared" si="63"/>
        <v>#N/A</v>
      </c>
      <c r="Z104" t="e">
        <f t="shared" si="64"/>
        <v>#N/A</v>
      </c>
      <c r="AA104" s="75" t="e">
        <f ca="1">SUM($Z$27:Z104)</f>
        <v>#N/A</v>
      </c>
      <c r="AB104" t="e">
        <f t="shared" si="65"/>
        <v>#N/A</v>
      </c>
      <c r="AC104" s="78" t="e">
        <f ca="1">SUM($AB$27:AB104)</f>
        <v>#N/A</v>
      </c>
      <c r="AD104" t="e">
        <f t="shared" si="66"/>
        <v>#N/A</v>
      </c>
      <c r="AE104" t="e">
        <f t="shared" si="67"/>
        <v>#N/A</v>
      </c>
      <c r="AF104" t="e">
        <f t="shared" si="68"/>
        <v>#N/A</v>
      </c>
      <c r="AG104" t="e">
        <f t="shared" si="84"/>
        <v>#N/A</v>
      </c>
      <c r="AH104" t="e">
        <f t="shared" si="79"/>
        <v>#N/A</v>
      </c>
      <c r="AI104" t="e">
        <f t="shared" si="80"/>
        <v>#N/A</v>
      </c>
      <c r="AJ104" t="e">
        <f ca="1">SUM($AI$27:AI104)</f>
        <v>#N/A</v>
      </c>
      <c r="AK104" t="e">
        <f t="shared" si="81"/>
        <v>#N/A</v>
      </c>
      <c r="AL104" t="e">
        <f ca="1">SUM($AK$27:AK104)</f>
        <v>#N/A</v>
      </c>
      <c r="AM104" s="244" t="e">
        <f t="shared" ca="1" si="56"/>
        <v>#N/A</v>
      </c>
      <c r="AN104" s="248" t="e">
        <f ca="1">SUM($T$27:T104)+SUM($AM$27:AM104)</f>
        <v>#N/A</v>
      </c>
      <c r="AO104" t="e">
        <f t="shared" ca="1" si="87"/>
        <v>#N/A</v>
      </c>
      <c r="AP104" t="e">
        <f ca="1">SUM($AO$27:AO104)</f>
        <v>#N/A</v>
      </c>
      <c r="AQ104" t="e">
        <f t="shared" si="82"/>
        <v>#N/A</v>
      </c>
      <c r="AR104" t="e">
        <f t="shared" ca="1" si="69"/>
        <v>#N/A</v>
      </c>
      <c r="AS104" t="e">
        <f t="shared" ca="1" si="34"/>
        <v>#N/A</v>
      </c>
      <c r="AT104" t="e">
        <f t="shared" ca="1" si="35"/>
        <v>#N/A</v>
      </c>
      <c r="AU104" t="e">
        <f t="shared" ca="1" si="83"/>
        <v>#N/A</v>
      </c>
      <c r="AZ104" t="e">
        <f t="shared" ca="1" si="70"/>
        <v>#N/A</v>
      </c>
      <c r="BA104" s="105" t="e">
        <f t="shared" ca="1" si="71"/>
        <v>#N/A</v>
      </c>
    </row>
    <row r="105" spans="1:53" x14ac:dyDescent="0.25">
      <c r="B105" s="105">
        <f t="shared" si="72"/>
        <v>78</v>
      </c>
      <c r="C105">
        <f t="shared" si="73"/>
        <v>79</v>
      </c>
      <c r="E105" s="78">
        <f t="shared" si="85"/>
        <v>0</v>
      </c>
      <c r="F105">
        <f t="shared" si="74"/>
        <v>0</v>
      </c>
      <c r="G105" t="e">
        <f ca="1">SUM($F$27:F105)</f>
        <v>#N/A</v>
      </c>
      <c r="H105" t="e">
        <f t="shared" si="58"/>
        <v>#N/A</v>
      </c>
      <c r="I105" t="e">
        <f t="shared" si="59"/>
        <v>#N/A</v>
      </c>
      <c r="J105" t="e">
        <f ca="1">SUM($I$27:I105)</f>
        <v>#N/A</v>
      </c>
      <c r="K105" t="e">
        <f t="shared" si="60"/>
        <v>#N/A</v>
      </c>
      <c r="L105" t="e">
        <f t="shared" si="61"/>
        <v>#N/A</v>
      </c>
      <c r="M105" s="888">
        <f t="shared" si="75"/>
        <v>0.5</v>
      </c>
      <c r="N105" s="248" t="e">
        <f t="shared" si="76"/>
        <v>#N/A</v>
      </c>
      <c r="O105" s="248" t="e">
        <f t="shared" si="77"/>
        <v>#N/A</v>
      </c>
      <c r="P105" s="248" t="e">
        <f t="shared" si="86"/>
        <v>#N/A</v>
      </c>
      <c r="Q105" s="244" t="e">
        <f ca="1">SUM($P$27:P105)+SUM($V$27:V105)</f>
        <v>#N/A</v>
      </c>
      <c r="R105" s="244" t="e">
        <f t="shared" ca="1" si="54"/>
        <v>#N/A</v>
      </c>
      <c r="S105" s="248" t="e">
        <f ca="1">SUM($R$27:R105)</f>
        <v>#N/A</v>
      </c>
      <c r="T105" s="244" t="e">
        <f t="shared" ca="1" si="55"/>
        <v>#N/A</v>
      </c>
      <c r="U105" s="244" t="e">
        <f ca="1">SUM($T$27:T105)</f>
        <v>#N/A</v>
      </c>
      <c r="V105" t="e">
        <f t="shared" si="78"/>
        <v>#N/A</v>
      </c>
      <c r="W105" s="75" t="e">
        <f ca="1">SUM($V$27:V105)</f>
        <v>#N/A</v>
      </c>
      <c r="X105" s="78" t="e">
        <f t="shared" si="62"/>
        <v>#N/A</v>
      </c>
      <c r="Y105" t="e">
        <f t="shared" si="63"/>
        <v>#N/A</v>
      </c>
      <c r="Z105" t="e">
        <f t="shared" si="64"/>
        <v>#N/A</v>
      </c>
      <c r="AA105" s="75" t="e">
        <f ca="1">SUM($Z$27:Z105)</f>
        <v>#N/A</v>
      </c>
      <c r="AB105" t="e">
        <f t="shared" si="65"/>
        <v>#N/A</v>
      </c>
      <c r="AC105" s="78" t="e">
        <f ca="1">SUM($AB$27:AB105)</f>
        <v>#N/A</v>
      </c>
      <c r="AD105" t="e">
        <f t="shared" si="66"/>
        <v>#N/A</v>
      </c>
      <c r="AE105" t="e">
        <f t="shared" si="67"/>
        <v>#N/A</v>
      </c>
      <c r="AF105" t="e">
        <f t="shared" si="68"/>
        <v>#N/A</v>
      </c>
      <c r="AG105" t="e">
        <f t="shared" si="84"/>
        <v>#N/A</v>
      </c>
      <c r="AH105" t="e">
        <f t="shared" si="79"/>
        <v>#N/A</v>
      </c>
      <c r="AI105" t="e">
        <f t="shared" si="80"/>
        <v>#N/A</v>
      </c>
      <c r="AJ105" t="e">
        <f ca="1">SUM($AI$27:AI105)</f>
        <v>#N/A</v>
      </c>
      <c r="AK105" t="e">
        <f t="shared" si="81"/>
        <v>#N/A</v>
      </c>
      <c r="AL105" t="e">
        <f ca="1">SUM($AK$27:AK105)</f>
        <v>#N/A</v>
      </c>
      <c r="AM105" s="244" t="e">
        <f t="shared" ca="1" si="56"/>
        <v>#N/A</v>
      </c>
      <c r="AN105" s="248" t="e">
        <f ca="1">SUM($T$27:T105)+SUM($AM$27:AM105)</f>
        <v>#N/A</v>
      </c>
      <c r="AO105" t="e">
        <f t="shared" ca="1" si="87"/>
        <v>#N/A</v>
      </c>
      <c r="AP105" t="e">
        <f ca="1">SUM($AO$27:AO105)</f>
        <v>#N/A</v>
      </c>
      <c r="AQ105" t="e">
        <f t="shared" si="82"/>
        <v>#N/A</v>
      </c>
      <c r="AR105" t="e">
        <f t="shared" ca="1" si="69"/>
        <v>#N/A</v>
      </c>
      <c r="AS105" t="e">
        <f t="shared" ca="1" si="34"/>
        <v>#N/A</v>
      </c>
      <c r="AT105" t="e">
        <f t="shared" ca="1" si="35"/>
        <v>#N/A</v>
      </c>
      <c r="AU105" t="e">
        <f t="shared" ca="1" si="83"/>
        <v>#N/A</v>
      </c>
      <c r="AZ105" t="e">
        <f t="shared" ca="1" si="70"/>
        <v>#N/A</v>
      </c>
      <c r="BA105" s="105" t="e">
        <f t="shared" ca="1" si="71"/>
        <v>#N/A</v>
      </c>
    </row>
    <row r="106" spans="1:53" x14ac:dyDescent="0.25">
      <c r="B106" s="105">
        <f t="shared" si="72"/>
        <v>79</v>
      </c>
      <c r="C106">
        <f t="shared" si="73"/>
        <v>80</v>
      </c>
      <c r="E106" s="78">
        <f t="shared" si="85"/>
        <v>0</v>
      </c>
      <c r="F106">
        <f t="shared" si="74"/>
        <v>0</v>
      </c>
      <c r="G106" t="e">
        <f ca="1">SUM($F$27:F106)</f>
        <v>#N/A</v>
      </c>
      <c r="H106" t="e">
        <f t="shared" si="58"/>
        <v>#N/A</v>
      </c>
      <c r="I106" t="e">
        <f t="shared" si="59"/>
        <v>#N/A</v>
      </c>
      <c r="J106" t="e">
        <f ca="1">SUM($I$27:I106)</f>
        <v>#N/A</v>
      </c>
      <c r="K106" t="e">
        <f t="shared" si="60"/>
        <v>#N/A</v>
      </c>
      <c r="L106" t="e">
        <f t="shared" si="61"/>
        <v>#N/A</v>
      </c>
      <c r="M106" s="888">
        <f t="shared" si="75"/>
        <v>0.5</v>
      </c>
      <c r="N106" s="248" t="e">
        <f t="shared" si="76"/>
        <v>#N/A</v>
      </c>
      <c r="O106" s="248" t="e">
        <f t="shared" si="77"/>
        <v>#N/A</v>
      </c>
      <c r="P106" s="248" t="e">
        <f t="shared" si="86"/>
        <v>#N/A</v>
      </c>
      <c r="Q106" s="244" t="e">
        <f ca="1">SUM($P$27:P106)+SUM($V$27:V106)</f>
        <v>#N/A</v>
      </c>
      <c r="R106" s="244" t="e">
        <f t="shared" ca="1" si="54"/>
        <v>#N/A</v>
      </c>
      <c r="S106" s="248" t="e">
        <f ca="1">SUM($R$27:R106)</f>
        <v>#N/A</v>
      </c>
      <c r="T106" s="244" t="e">
        <f t="shared" ca="1" si="55"/>
        <v>#N/A</v>
      </c>
      <c r="U106" s="244" t="e">
        <f ca="1">SUM($T$27:T106)</f>
        <v>#N/A</v>
      </c>
      <c r="V106" t="e">
        <f t="shared" si="78"/>
        <v>#N/A</v>
      </c>
      <c r="W106" s="75" t="e">
        <f ca="1">SUM($V$27:V106)</f>
        <v>#N/A</v>
      </c>
      <c r="X106" s="78" t="e">
        <f t="shared" si="62"/>
        <v>#N/A</v>
      </c>
      <c r="Y106" t="e">
        <f t="shared" si="63"/>
        <v>#N/A</v>
      </c>
      <c r="Z106" t="e">
        <f t="shared" si="64"/>
        <v>#N/A</v>
      </c>
      <c r="AA106" s="75" t="e">
        <f ca="1">SUM($Z$27:Z106)</f>
        <v>#N/A</v>
      </c>
      <c r="AB106" t="e">
        <f t="shared" si="65"/>
        <v>#N/A</v>
      </c>
      <c r="AC106" s="78" t="e">
        <f ca="1">SUM($AB$27:AB106)</f>
        <v>#N/A</v>
      </c>
      <c r="AD106" t="e">
        <f t="shared" si="66"/>
        <v>#N/A</v>
      </c>
      <c r="AE106" t="e">
        <f t="shared" si="67"/>
        <v>#N/A</v>
      </c>
      <c r="AF106" t="e">
        <f t="shared" si="68"/>
        <v>#N/A</v>
      </c>
      <c r="AG106" t="e">
        <f t="shared" si="84"/>
        <v>#N/A</v>
      </c>
      <c r="AH106" t="e">
        <f t="shared" si="79"/>
        <v>#N/A</v>
      </c>
      <c r="AI106" t="e">
        <f t="shared" si="80"/>
        <v>#N/A</v>
      </c>
      <c r="AJ106" t="e">
        <f ca="1">SUM($AI$27:AI106)</f>
        <v>#N/A</v>
      </c>
      <c r="AK106" t="e">
        <f t="shared" si="81"/>
        <v>#N/A</v>
      </c>
      <c r="AL106" t="e">
        <f ca="1">SUM($AK$27:AK106)</f>
        <v>#N/A</v>
      </c>
      <c r="AM106" s="244" t="e">
        <f t="shared" ca="1" si="56"/>
        <v>#N/A</v>
      </c>
      <c r="AN106" s="248" t="e">
        <f ca="1">SUM($T$27:T106)+SUM($AM$27:AM106)</f>
        <v>#N/A</v>
      </c>
      <c r="AO106" t="e">
        <f t="shared" ca="1" si="87"/>
        <v>#N/A</v>
      </c>
      <c r="AP106" t="e">
        <f ca="1">SUM($AO$27:AO106)</f>
        <v>#N/A</v>
      </c>
      <c r="AQ106" t="e">
        <f t="shared" si="82"/>
        <v>#N/A</v>
      </c>
      <c r="AR106" t="e">
        <f t="shared" ca="1" si="69"/>
        <v>#N/A</v>
      </c>
      <c r="AS106" t="e">
        <f t="shared" ca="1" si="34"/>
        <v>#N/A</v>
      </c>
      <c r="AT106" t="e">
        <f t="shared" ca="1" si="35"/>
        <v>#N/A</v>
      </c>
      <c r="AU106" t="e">
        <f t="shared" ca="1" si="83"/>
        <v>#N/A</v>
      </c>
      <c r="AZ106" t="e">
        <f t="shared" ca="1" si="70"/>
        <v>#N/A</v>
      </c>
      <c r="BA106" s="105" t="e">
        <f t="shared" ca="1" si="71"/>
        <v>#N/A</v>
      </c>
    </row>
    <row r="107" spans="1:53" x14ac:dyDescent="0.25">
      <c r="D107" s="78" t="e">
        <f ca="1">SUM(D27:D106)</f>
        <v>#N/A</v>
      </c>
      <c r="K107" t="e">
        <f ca="1">SUM(K27:K106)</f>
        <v>#N/A</v>
      </c>
      <c r="L107" s="54" t="e">
        <f ca="1">SUM(L27:L106)</f>
        <v>#N/A</v>
      </c>
      <c r="M107" s="888"/>
      <c r="N107" s="248" t="e">
        <f ca="1">SUM(N27:N106)</f>
        <v>#N/A</v>
      </c>
      <c r="O107" s="248" t="e">
        <f ca="1">SUM(O27:O106)</f>
        <v>#N/A</v>
      </c>
      <c r="R107" s="245" t="e">
        <f ca="1">SUM(R27:R106)</f>
        <v>#N/A</v>
      </c>
      <c r="S107" s="245"/>
      <c r="T107" s="245" t="e">
        <f ca="1">SUM(T27:T106)</f>
        <v>#N/A</v>
      </c>
      <c r="V107" t="e">
        <f ca="1">SUM(V27:V106)</f>
        <v>#N/A</v>
      </c>
      <c r="Z107" t="e">
        <f ca="1">SUM(Z27:Z106)</f>
        <v>#N/A</v>
      </c>
      <c r="AB107" t="e">
        <f ca="1">SUM(AB27:AB106)</f>
        <v>#N/A</v>
      </c>
      <c r="AC107" s="78"/>
      <c r="AD107" s="78" t="e">
        <f t="shared" ref="AD107:AI107" ca="1" si="88">SUM(AD27:AD106)</f>
        <v>#N/A</v>
      </c>
      <c r="AE107" s="54" t="e">
        <f t="shared" ca="1" si="88"/>
        <v>#N/A</v>
      </c>
      <c r="AF107" t="e">
        <f t="shared" ca="1" si="88"/>
        <v>#N/A</v>
      </c>
      <c r="AG107" t="e">
        <f t="shared" ca="1" si="88"/>
        <v>#N/A</v>
      </c>
      <c r="AH107" t="e">
        <f t="shared" ca="1" si="88"/>
        <v>#N/A</v>
      </c>
      <c r="AI107" s="391" t="e">
        <f t="shared" ca="1" si="88"/>
        <v>#N/A</v>
      </c>
      <c r="AJ107" s="402"/>
      <c r="AK107" s="391" t="e">
        <f ca="1">SUM(AK27:AK106)</f>
        <v>#N/A</v>
      </c>
      <c r="AL107" s="391"/>
      <c r="AM107" s="402" t="e">
        <f ca="1">SUM(AM27:AM106)</f>
        <v>#N/A</v>
      </c>
      <c r="AN107" s="402"/>
      <c r="AO107" t="e">
        <f ca="1">SUM(AM107,T107,R107)</f>
        <v>#N/A</v>
      </c>
      <c r="AQ107" t="e">
        <f ca="1">SUM(AQ27:AQ106)</f>
        <v>#N/A</v>
      </c>
    </row>
    <row r="108" spans="1:53" x14ac:dyDescent="0.25">
      <c r="L108" s="54"/>
      <c r="M108" s="888"/>
      <c r="AI108" t="e">
        <f ca="1">SUM(AG107:AH107)</f>
        <v>#N/A</v>
      </c>
    </row>
    <row r="109" spans="1:53" x14ac:dyDescent="0.25">
      <c r="A109" s="540"/>
      <c r="B109" s="540"/>
      <c r="C109" s="540"/>
      <c r="D109" s="540"/>
      <c r="E109" s="540"/>
      <c r="F109" s="540"/>
      <c r="G109" s="540"/>
      <c r="H109" s="540"/>
      <c r="I109" s="540"/>
      <c r="J109" s="540"/>
      <c r="K109" s="540"/>
      <c r="L109" s="541"/>
      <c r="V109" s="540"/>
      <c r="W109" s="540"/>
      <c r="X109" s="540"/>
      <c r="Y109" s="540"/>
      <c r="Z109" s="540"/>
      <c r="AA109" s="540"/>
      <c r="AB109" s="540"/>
      <c r="AC109" s="540"/>
      <c r="AD109" s="540"/>
      <c r="AE109" s="540"/>
      <c r="AF109" s="540"/>
      <c r="AG109" s="540"/>
      <c r="AH109" s="541"/>
      <c r="AI109" s="540"/>
      <c r="AJ109" s="540"/>
      <c r="AK109" s="540"/>
      <c r="AL109" s="540"/>
      <c r="AM109" s="540"/>
      <c r="AN109" s="540"/>
      <c r="AO109" s="540"/>
      <c r="AP109" s="540"/>
      <c r="AQ109" s="540"/>
      <c r="AR109" s="540"/>
      <c r="AS109" s="540"/>
      <c r="AT109" s="540"/>
      <c r="AU109" s="540"/>
      <c r="AV109" s="540"/>
      <c r="AW109" s="540"/>
      <c r="AX109" s="540"/>
      <c r="AZ109" s="540"/>
    </row>
    <row r="111" spans="1:53" ht="18" thickBot="1" x14ac:dyDescent="0.35">
      <c r="B111" s="542" t="s">
        <v>385</v>
      </c>
      <c r="C111" s="539"/>
      <c r="AH111"/>
    </row>
    <row r="112" spans="1:53" s="76" customFormat="1" ht="12.75" hidden="1" customHeight="1" x14ac:dyDescent="0.25">
      <c r="D112" s="76">
        <v>1</v>
      </c>
      <c r="E112" s="76">
        <v>5</v>
      </c>
      <c r="F112" s="76">
        <v>2</v>
      </c>
      <c r="H112" s="76">
        <v>3</v>
      </c>
      <c r="I112" s="412">
        <v>3.1</v>
      </c>
      <c r="J112" s="412"/>
      <c r="K112" s="412">
        <v>3.1</v>
      </c>
      <c r="L112" s="412">
        <v>4</v>
      </c>
      <c r="M112" s="404"/>
      <c r="N112" s="404"/>
      <c r="O112" s="404"/>
      <c r="P112" s="404">
        <v>4</v>
      </c>
      <c r="Q112" s="404"/>
      <c r="R112" s="404"/>
      <c r="S112" s="404"/>
      <c r="T112" s="404">
        <v>6.1</v>
      </c>
      <c r="U112" s="404"/>
      <c r="V112" s="412">
        <v>3</v>
      </c>
      <c r="W112" s="412"/>
      <c r="Y112" s="76">
        <v>3</v>
      </c>
      <c r="Z112" s="76">
        <v>3.1</v>
      </c>
      <c r="AD112" s="76">
        <v>3.1</v>
      </c>
      <c r="AE112" s="76">
        <v>3.1</v>
      </c>
      <c r="AF112" s="76">
        <v>5</v>
      </c>
      <c r="AG112" s="76">
        <v>5</v>
      </c>
      <c r="AH112" s="76">
        <v>5.0999999999999996</v>
      </c>
      <c r="AI112" s="76">
        <v>5.0999999999999996</v>
      </c>
      <c r="AK112" s="76">
        <v>6</v>
      </c>
      <c r="AM112" s="76">
        <v>6</v>
      </c>
    </row>
    <row r="113" spans="2:52" ht="28.5" hidden="1" customHeight="1" x14ac:dyDescent="0.25">
      <c r="D113" s="1284" t="s">
        <v>262</v>
      </c>
      <c r="E113" s="510" t="e">
        <f ca="1">SUM(E117:E196)</f>
        <v>#N/A</v>
      </c>
      <c r="F113" s="395" t="s">
        <v>268</v>
      </c>
      <c r="G113" s="395"/>
      <c r="H113" s="386"/>
      <c r="I113" s="76"/>
      <c r="J113" s="76"/>
      <c r="K113" s="1286" t="s">
        <v>312</v>
      </c>
      <c r="L113" s="1286"/>
      <c r="M113" s="404"/>
      <c r="N113" s="404"/>
      <c r="O113" s="404"/>
      <c r="P113" s="395"/>
      <c r="Q113" s="395"/>
      <c r="R113" s="395"/>
      <c r="S113" s="395"/>
      <c r="T113" s="404"/>
      <c r="U113" s="395"/>
      <c r="V113" s="395"/>
      <c r="W113" s="395"/>
      <c r="X113" s="76"/>
      <c r="Y113" s="76"/>
      <c r="Z113" s="76"/>
      <c r="AA113" s="76"/>
      <c r="AB113" s="76" t="e">
        <f ca="1">SUM(AB117:AB196)</f>
        <v>#N/A</v>
      </c>
      <c r="AC113" s="76"/>
      <c r="AD113" s="76" t="e">
        <f ca="1">SUM(AD117:AD196)</f>
        <v>#N/A</v>
      </c>
      <c r="AE113" s="76"/>
      <c r="AF113" s="76"/>
      <c r="AG113" s="76"/>
      <c r="AH113" s="76"/>
      <c r="AI113" t="e">
        <f ca="1">SUM(AI117:AI196)</f>
        <v>#N/A</v>
      </c>
      <c r="AM113" s="76"/>
      <c r="AN113" s="76"/>
      <c r="AO113" t="e">
        <f ca="1">SUM(AO117:AO195)</f>
        <v>#N/A</v>
      </c>
    </row>
    <row r="114" spans="2:52" s="376" customFormat="1" ht="85.5" customHeight="1" thickBot="1" x14ac:dyDescent="0.3">
      <c r="B114" s="376">
        <f>'PEP Impact Model'!B108</f>
        <v>0</v>
      </c>
      <c r="C114" s="377" t="s">
        <v>196</v>
      </c>
      <c r="D114" s="1285"/>
      <c r="E114" s="393" t="s">
        <v>317</v>
      </c>
      <c r="F114" s="414" t="s">
        <v>276</v>
      </c>
      <c r="G114" s="414" t="s">
        <v>324</v>
      </c>
      <c r="H114" s="414" t="s">
        <v>280</v>
      </c>
      <c r="I114" s="414" t="s">
        <v>279</v>
      </c>
      <c r="J114" s="414" t="s">
        <v>325</v>
      </c>
      <c r="K114" s="414" t="s">
        <v>318</v>
      </c>
      <c r="L114" s="414" t="s">
        <v>319</v>
      </c>
      <c r="M114" s="405" t="s">
        <v>565</v>
      </c>
      <c r="N114" s="405" t="s">
        <v>561</v>
      </c>
      <c r="O114" s="405" t="s">
        <v>562</v>
      </c>
      <c r="P114" s="405" t="s">
        <v>269</v>
      </c>
      <c r="Q114" s="405" t="s">
        <v>582</v>
      </c>
      <c r="R114" s="405" t="s">
        <v>559</v>
      </c>
      <c r="S114" s="405" t="s">
        <v>581</v>
      </c>
      <c r="T114" s="405" t="s">
        <v>329</v>
      </c>
      <c r="U114" s="405" t="s">
        <v>331</v>
      </c>
      <c r="V114" s="414" t="s">
        <v>304</v>
      </c>
      <c r="W114" s="414" t="s">
        <v>332</v>
      </c>
      <c r="X114" s="414" t="s">
        <v>272</v>
      </c>
      <c r="Y114" s="414" t="s">
        <v>281</v>
      </c>
      <c r="Z114" s="414" t="s">
        <v>282</v>
      </c>
      <c r="AA114" s="414" t="s">
        <v>333</v>
      </c>
      <c r="AB114" s="394" t="s">
        <v>328</v>
      </c>
      <c r="AC114" s="394" t="s">
        <v>338</v>
      </c>
      <c r="AD114" s="393" t="s">
        <v>283</v>
      </c>
      <c r="AE114" s="414" t="s">
        <v>320</v>
      </c>
      <c r="AF114" s="414" t="s">
        <v>321</v>
      </c>
      <c r="AG114" s="390" t="s">
        <v>298</v>
      </c>
      <c r="AH114" s="390" t="s">
        <v>299</v>
      </c>
      <c r="AI114" s="394" t="s">
        <v>296</v>
      </c>
      <c r="AJ114" s="413" t="s">
        <v>336</v>
      </c>
      <c r="AK114" s="414" t="s">
        <v>305</v>
      </c>
      <c r="AL114" s="414" t="s">
        <v>330</v>
      </c>
      <c r="AM114" s="399" t="s">
        <v>297</v>
      </c>
      <c r="AN114" s="870" t="s">
        <v>583</v>
      </c>
      <c r="AO114" s="863" t="s">
        <v>337</v>
      </c>
      <c r="AP114" s="864" t="s">
        <v>335</v>
      </c>
      <c r="AQ114" s="879" t="s">
        <v>576</v>
      </c>
      <c r="AR114" s="880" t="s">
        <v>577</v>
      </c>
      <c r="AS114" s="880" t="s">
        <v>584</v>
      </c>
      <c r="AT114" s="880" t="s">
        <v>585</v>
      </c>
      <c r="AU114" s="881" t="s">
        <v>586</v>
      </c>
      <c r="AV114" s="538"/>
      <c r="AW114"/>
      <c r="AZ114" s="77"/>
    </row>
    <row r="115" spans="2:52" s="376" customFormat="1" ht="24" x14ac:dyDescent="0.5">
      <c r="C115" s="377"/>
      <c r="D115" s="379" t="s">
        <v>261</v>
      </c>
      <c r="E115" s="379" t="s">
        <v>273</v>
      </c>
      <c r="F115" s="379" t="s">
        <v>285</v>
      </c>
      <c r="G115" s="379"/>
      <c r="H115" s="379" t="s">
        <v>277</v>
      </c>
      <c r="I115" s="379" t="s">
        <v>287</v>
      </c>
      <c r="J115" s="379"/>
      <c r="K115" s="379" t="s">
        <v>265</v>
      </c>
      <c r="L115" s="379" t="s">
        <v>266</v>
      </c>
      <c r="M115" s="401" t="s">
        <v>566</v>
      </c>
      <c r="N115" s="401" t="s">
        <v>563</v>
      </c>
      <c r="O115" s="401" t="s">
        <v>564</v>
      </c>
      <c r="P115" s="400" t="s">
        <v>264</v>
      </c>
      <c r="Q115" s="400"/>
      <c r="R115" s="400"/>
      <c r="S115" s="400"/>
      <c r="T115" s="400" t="s">
        <v>310</v>
      </c>
      <c r="U115" s="400"/>
      <c r="V115" s="380" t="s">
        <v>267</v>
      </c>
      <c r="W115" s="380"/>
      <c r="X115" s="379" t="s">
        <v>263</v>
      </c>
      <c r="Y115" s="379" t="s">
        <v>278</v>
      </c>
      <c r="Z115" s="379" t="s">
        <v>292</v>
      </c>
      <c r="AA115" s="379"/>
      <c r="AB115" s="379"/>
      <c r="AC115" s="379"/>
      <c r="AD115" s="380" t="s">
        <v>284</v>
      </c>
      <c r="AE115" s="379" t="s">
        <v>300</v>
      </c>
      <c r="AF115" s="379" t="s">
        <v>301</v>
      </c>
      <c r="AG115" s="380" t="s">
        <v>302</v>
      </c>
      <c r="AH115" s="380" t="s">
        <v>303</v>
      </c>
      <c r="AI115" s="414" t="s">
        <v>315</v>
      </c>
      <c r="AJ115" s="414"/>
      <c r="AK115" s="414" t="s">
        <v>314</v>
      </c>
      <c r="AL115" s="414"/>
      <c r="AM115" s="400" t="s">
        <v>309</v>
      </c>
      <c r="AN115" s="400"/>
      <c r="AO115" s="392" t="s">
        <v>316</v>
      </c>
      <c r="AP115" s="392"/>
      <c r="AU115" s="54"/>
      <c r="AV115" s="54"/>
      <c r="AW115" s="264"/>
      <c r="AX115" s="264"/>
      <c r="AZ115"/>
    </row>
    <row r="116" spans="2:52" s="378" customFormat="1" ht="29.25" customHeight="1" x14ac:dyDescent="0.5">
      <c r="D116" s="396" t="s">
        <v>386</v>
      </c>
      <c r="E116" s="379" t="s">
        <v>274</v>
      </c>
      <c r="F116" s="379" t="s">
        <v>275</v>
      </c>
      <c r="G116" s="379"/>
      <c r="H116" s="380"/>
      <c r="I116" s="380" t="s">
        <v>286</v>
      </c>
      <c r="J116" s="379"/>
      <c r="K116" s="379" t="s">
        <v>288</v>
      </c>
      <c r="L116" s="379" t="s">
        <v>289</v>
      </c>
      <c r="M116" s="401"/>
      <c r="N116" s="401" t="s">
        <v>575</v>
      </c>
      <c r="O116" s="401" t="s">
        <v>574</v>
      </c>
      <c r="P116" s="401" t="s">
        <v>270</v>
      </c>
      <c r="Q116" s="401"/>
      <c r="R116" s="401"/>
      <c r="S116" s="401"/>
      <c r="T116" s="401" t="s">
        <v>311</v>
      </c>
      <c r="U116" s="401"/>
      <c r="V116" s="379" t="s">
        <v>271</v>
      </c>
      <c r="W116" s="379"/>
      <c r="X116" s="379" t="s">
        <v>290</v>
      </c>
      <c r="Y116" s="380"/>
      <c r="Z116" s="380" t="s">
        <v>291</v>
      </c>
      <c r="AA116" s="380"/>
      <c r="AB116" s="379" t="s">
        <v>326</v>
      </c>
      <c r="AC116" s="379"/>
      <c r="AD116" s="380" t="s">
        <v>293</v>
      </c>
      <c r="AE116" s="379" t="s">
        <v>294</v>
      </c>
      <c r="AF116" s="379" t="s">
        <v>295</v>
      </c>
      <c r="AG116" s="379" t="s">
        <v>322</v>
      </c>
      <c r="AH116" s="379" t="s">
        <v>323</v>
      </c>
      <c r="AI116" s="380" t="s">
        <v>306</v>
      </c>
      <c r="AJ116" s="380"/>
      <c r="AK116" s="414" t="s">
        <v>307</v>
      </c>
      <c r="AL116" s="414"/>
      <c r="AM116" s="401" t="s">
        <v>308</v>
      </c>
      <c r="AN116" s="401"/>
      <c r="AO116" s="380" t="s">
        <v>313</v>
      </c>
      <c r="AP116" s="380"/>
      <c r="AW116" s="543"/>
      <c r="AX116" s="543"/>
    </row>
    <row r="117" spans="2:52" x14ac:dyDescent="0.25">
      <c r="B117" s="105">
        <f>'Epi-Curve Model'!B57</f>
        <v>0</v>
      </c>
      <c r="C117">
        <v>1</v>
      </c>
      <c r="D117" s="78" t="e">
        <f ca="1">'PEP Impact Model'!J19</f>
        <v>#N/A</v>
      </c>
      <c r="E117" s="387" t="e">
        <f ca="1">D117</f>
        <v>#N/A</v>
      </c>
      <c r="F117" s="389" t="e">
        <f ca="1">ROUND(E117*$D$14,0)</f>
        <v>#N/A</v>
      </c>
      <c r="G117" s="75" t="e">
        <f ca="1">F117</f>
        <v>#N/A</v>
      </c>
      <c r="H117" t="e">
        <f t="shared" ref="H117:H148" si="89">IF(B117&lt;$D$8,$C$11,$D$11)</f>
        <v>#N/A</v>
      </c>
      <c r="I117" t="e">
        <f t="shared" ref="I117:I148" ca="1" si="90">ROUND((E117-(E117*$D$14))*H117,0)</f>
        <v>#N/A</v>
      </c>
      <c r="J117" s="75" t="e">
        <f ca="1">I117</f>
        <v>#N/A</v>
      </c>
      <c r="K117" t="e">
        <f t="shared" ref="K117:K148" ca="1" si="91">ROUND(I117*$C$17,0)</f>
        <v>#N/A</v>
      </c>
      <c r="L117" t="e">
        <f t="shared" ref="L117:L148" ca="1" si="92">ROUND((I117*(1-$C$17)),0)</f>
        <v>#N/A</v>
      </c>
      <c r="M117" s="888">
        <f>$D$13</f>
        <v>0.5</v>
      </c>
      <c r="N117" s="248" t="e">
        <f ca="1">K117-O117</f>
        <v>#N/A</v>
      </c>
      <c r="O117" s="248" t="e">
        <f ca="1">ROUND(K117*M117,0)</f>
        <v>#N/A</v>
      </c>
      <c r="P117" s="406" t="e">
        <f ca="1">ROUND(N117*$D$14,0)</f>
        <v>#N/A</v>
      </c>
      <c r="Q117" s="883" t="e">
        <f ca="1">P117+V117</f>
        <v>#N/A</v>
      </c>
      <c r="S117" s="883">
        <f>R117</f>
        <v>0</v>
      </c>
      <c r="U117" s="406">
        <f>T117</f>
        <v>0</v>
      </c>
      <c r="V117" s="389" t="e">
        <f ca="1">ROUND(L117*0.5,0)</f>
        <v>#N/A</v>
      </c>
      <c r="W117" s="389" t="e">
        <f ca="1">V117</f>
        <v>#N/A</v>
      </c>
      <c r="X117" s="78" t="e">
        <f t="shared" ref="X117:X148" ca="1" si="93">E117-F117-I117</f>
        <v>#N/A</v>
      </c>
      <c r="Y117" t="e">
        <f t="shared" ref="Y117:Y148" si="94">IF(B117&lt;$D$8,$C$12,$D$12)</f>
        <v>#N/A</v>
      </c>
      <c r="Z117" t="e">
        <f t="shared" ref="Z117:Z148" ca="1" si="95">ROUND(F117*Y117,0)</f>
        <v>#N/A</v>
      </c>
      <c r="AA117" s="389" t="e">
        <f ca="1">Z117</f>
        <v>#N/A</v>
      </c>
      <c r="AB117" t="e">
        <f t="shared" ref="AB117:AB148" ca="1" si="96">SUM(I117,Z117)</f>
        <v>#N/A</v>
      </c>
      <c r="AC117" s="383" t="e">
        <f ca="1">AB117</f>
        <v>#N/A</v>
      </c>
      <c r="AD117" t="e">
        <f t="shared" ref="AD117:AD148" ca="1" si="97">F117-Z117</f>
        <v>#N/A</v>
      </c>
      <c r="AE117" t="e">
        <f t="shared" ref="AE117:AE148" ca="1" si="98">ROUND(Z117*$D$17,0)</f>
        <v>#N/A</v>
      </c>
      <c r="AF117" t="e">
        <f t="shared" ref="AF117:AF148" ca="1" si="99">ROUND(Z117*(1-$D$17),0)</f>
        <v>#N/A</v>
      </c>
      <c r="AG117" s="389"/>
      <c r="AH117" s="389"/>
      <c r="AI117" s="389"/>
      <c r="AJ117" s="389">
        <f>AI117</f>
        <v>0</v>
      </c>
      <c r="AK117" s="389"/>
      <c r="AL117" s="381">
        <f>AK117</f>
        <v>0</v>
      </c>
      <c r="AM117" s="248"/>
      <c r="AN117" s="883">
        <f>T117+AM117</f>
        <v>0</v>
      </c>
      <c r="AP117" s="381">
        <f>AO117</f>
        <v>0</v>
      </c>
      <c r="AQ117" t="e">
        <f ca="1">P117+V117+Z117</f>
        <v>#N/A</v>
      </c>
      <c r="AR117" t="e">
        <f t="shared" ref="AR117:AR180" ca="1" si="100">U117+W117+AA117</f>
        <v>#N/A</v>
      </c>
      <c r="AS117" t="e">
        <f ca="1">IF(J117-Q117-S117&lt;0,0,J117-Q117-S117)</f>
        <v>#N/A</v>
      </c>
      <c r="AT117" t="e">
        <f ca="1">IF(Q117+AA117-AJ117-AN117&lt;0,0,IF(AND(AO117=0,AO116=1),0,Q117+AA117-AJ117-AN117))</f>
        <v>#N/A</v>
      </c>
      <c r="AU117" t="e">
        <f ca="1">AS117+AT117</f>
        <v>#N/A</v>
      </c>
      <c r="AW117" s="75"/>
      <c r="AX117" s="544"/>
    </row>
    <row r="118" spans="2:52" x14ac:dyDescent="0.25">
      <c r="B118" s="105">
        <f>B117+1</f>
        <v>1</v>
      </c>
      <c r="C118">
        <v>2</v>
      </c>
      <c r="D118" s="78" t="e">
        <f ca="1">'PEP Impact Model'!J20</f>
        <v>#N/A</v>
      </c>
      <c r="E118" s="305" t="e">
        <f ca="1">IF(D118+X117&lt;0,1,D118+X117)</f>
        <v>#N/A</v>
      </c>
      <c r="F118" t="e">
        <f t="shared" ref="F118:F149" ca="1" si="101">IF(AND(E118&gt;0.5,E118&lt;1.5),1,ROUND(E118*$D$14,0))</f>
        <v>#N/A</v>
      </c>
      <c r="G118" s="304" t="e">
        <f ca="1">SUM($F$117:F118)</f>
        <v>#N/A</v>
      </c>
      <c r="H118" t="e">
        <f t="shared" si="89"/>
        <v>#N/A</v>
      </c>
      <c r="I118" t="e">
        <f t="shared" ca="1" si="90"/>
        <v>#N/A</v>
      </c>
      <c r="J118" s="304" t="e">
        <f ca="1">SUM($I$117:I118)</f>
        <v>#N/A</v>
      </c>
      <c r="K118" t="e">
        <f t="shared" ca="1" si="91"/>
        <v>#N/A</v>
      </c>
      <c r="L118" t="e">
        <f t="shared" ca="1" si="92"/>
        <v>#N/A</v>
      </c>
      <c r="M118" s="888">
        <f t="shared" ref="M118:M181" si="102">$D$13</f>
        <v>0.5</v>
      </c>
      <c r="N118" s="248" t="e">
        <f t="shared" ref="N118:N181" ca="1" si="103">K118-O118</f>
        <v>#N/A</v>
      </c>
      <c r="O118" s="248" t="e">
        <f t="shared" ref="O118:O181" ca="1" si="104">ROUND(K118*M118,0)</f>
        <v>#N/A</v>
      </c>
      <c r="P118" s="889" t="e">
        <f ca="1">ROUND(N117*$D$14+N118*$D$14,0)</f>
        <v>#N/A</v>
      </c>
      <c r="Q118" s="244" t="e">
        <f ca="1">SUM($P$117:P118)+SUM($V$117:V118)</f>
        <v>#N/A</v>
      </c>
      <c r="S118" s="248">
        <f>SUM($R$117:R118)</f>
        <v>0</v>
      </c>
      <c r="U118" s="244">
        <f>SUM($T$117:T118)</f>
        <v>0</v>
      </c>
      <c r="V118" s="75" t="e">
        <f t="shared" ref="V118:V181" ca="1" si="105">ROUND(L117*0.5+L118*0.5,0)</f>
        <v>#N/A</v>
      </c>
      <c r="W118" s="75" t="e">
        <f ca="1">SUM($V$117:V118)</f>
        <v>#N/A</v>
      </c>
      <c r="X118" s="78" t="e">
        <f t="shared" ca="1" si="93"/>
        <v>#N/A</v>
      </c>
      <c r="Y118" t="e">
        <f t="shared" si="94"/>
        <v>#N/A</v>
      </c>
      <c r="Z118" t="e">
        <f t="shared" ca="1" si="95"/>
        <v>#N/A</v>
      </c>
      <c r="AA118" s="75" t="e">
        <f ca="1">SUM($Z$117:Z118)</f>
        <v>#N/A</v>
      </c>
      <c r="AB118" t="e">
        <f t="shared" ca="1" si="96"/>
        <v>#N/A</v>
      </c>
      <c r="AC118" s="78" t="e">
        <f ca="1">SUM($AB$117:AB118)</f>
        <v>#N/A</v>
      </c>
      <c r="AD118" t="e">
        <f t="shared" ca="1" si="97"/>
        <v>#N/A</v>
      </c>
      <c r="AE118" t="e">
        <f t="shared" ca="1" si="98"/>
        <v>#N/A</v>
      </c>
      <c r="AF118" t="e">
        <f t="shared" ca="1" si="99"/>
        <v>#N/A</v>
      </c>
      <c r="AG118" t="e">
        <f ca="1">AF117*1</f>
        <v>#N/A</v>
      </c>
      <c r="AH118" t="e">
        <f t="shared" ref="AH118:AH181" ca="1" si="106">V117*1</f>
        <v>#N/A</v>
      </c>
      <c r="AI118" t="e">
        <f t="shared" ref="AI118:AI181" ca="1" si="107">SUM(AG118:AH118)</f>
        <v>#N/A</v>
      </c>
      <c r="AJ118" t="e">
        <f ca="1">SUM($AI$117:AI118)</f>
        <v>#N/A</v>
      </c>
      <c r="AK118" t="e">
        <f ca="1">AI118+AD118</f>
        <v>#N/A</v>
      </c>
      <c r="AL118" t="e">
        <f ca="1">SUM($AK$117:AK118)</f>
        <v>#N/A</v>
      </c>
      <c r="AM118" s="248"/>
      <c r="AN118" s="248">
        <f>SUM($T$117:T118)+SUM($AM$117:AM118)</f>
        <v>0</v>
      </c>
      <c r="AP118">
        <f>SUM($AO$117:AO118)</f>
        <v>0</v>
      </c>
      <c r="AQ118" t="e">
        <f t="shared" ref="AQ118:AQ181" ca="1" si="108">P118+V118+Z118</f>
        <v>#N/A</v>
      </c>
      <c r="AR118" t="e">
        <f t="shared" ca="1" si="100"/>
        <v>#N/A</v>
      </c>
      <c r="AS118" t="e">
        <f t="shared" ref="AS118:AS141" ca="1" si="109">IF(J118-Q118-S118&lt;0,0,J118-Q118-S118)</f>
        <v>#N/A</v>
      </c>
      <c r="AT118" t="e">
        <f t="shared" ref="AT118:AT141" ca="1" si="110">IF(Q118+AA118-AJ118-AN118&lt;0,0,IF(AND(AO118=0,AO117=1),0,Q118+AA118-AJ118-AN118))</f>
        <v>#N/A</v>
      </c>
      <c r="AU118" t="e">
        <f t="shared" ref="AU118:AU181" ca="1" si="111">AS118+AT118</f>
        <v>#N/A</v>
      </c>
      <c r="AW118" s="75"/>
      <c r="AX118" s="544"/>
    </row>
    <row r="119" spans="2:52" x14ac:dyDescent="0.25">
      <c r="B119" s="105">
        <f t="shared" ref="B119:B182" si="112">B118+1</f>
        <v>2</v>
      </c>
      <c r="C119">
        <v>3</v>
      </c>
      <c r="D119" s="78" t="e">
        <f ca="1">'PEP Impact Model'!J21</f>
        <v>#N/A</v>
      </c>
      <c r="E119" s="305" t="e">
        <f ca="1">IF(D119+X118&lt;0,1,D119+X118)</f>
        <v>#N/A</v>
      </c>
      <c r="F119" t="e">
        <f t="shared" ca="1" si="101"/>
        <v>#N/A</v>
      </c>
      <c r="G119" t="e">
        <f ca="1">SUM($F$117:F119)</f>
        <v>#N/A</v>
      </c>
      <c r="H119" t="e">
        <f t="shared" si="89"/>
        <v>#N/A</v>
      </c>
      <c r="I119" t="e">
        <f t="shared" ca="1" si="90"/>
        <v>#N/A</v>
      </c>
      <c r="J119" t="e">
        <f ca="1">SUM($I$117:I119)</f>
        <v>#N/A</v>
      </c>
      <c r="K119" t="e">
        <f t="shared" ca="1" si="91"/>
        <v>#N/A</v>
      </c>
      <c r="L119" t="e">
        <f t="shared" ca="1" si="92"/>
        <v>#N/A</v>
      </c>
      <c r="M119" s="888">
        <f t="shared" si="102"/>
        <v>0.5</v>
      </c>
      <c r="N119" s="248" t="e">
        <f t="shared" ca="1" si="103"/>
        <v>#N/A</v>
      </c>
      <c r="O119" s="248" t="e">
        <f t="shared" ca="1" si="104"/>
        <v>#N/A</v>
      </c>
      <c r="P119" s="889" t="e">
        <f ca="1">ROUND(N117*$D$14+N118*$D$14+N119*$D$14,0)</f>
        <v>#N/A</v>
      </c>
      <c r="Q119" s="244" t="e">
        <f ca="1">SUM($P$117:P119)+SUM($V$117:V119)</f>
        <v>#N/A</v>
      </c>
      <c r="S119" s="248">
        <f>SUM($R$117:R119)</f>
        <v>0</v>
      </c>
      <c r="U119" s="244">
        <f>SUM($T$117:T119)</f>
        <v>0</v>
      </c>
      <c r="V119" s="75" t="e">
        <f t="shared" ca="1" si="105"/>
        <v>#N/A</v>
      </c>
      <c r="W119" s="75" t="e">
        <f ca="1">SUM($V$117:V119)</f>
        <v>#N/A</v>
      </c>
      <c r="X119" s="78" t="e">
        <f t="shared" ca="1" si="93"/>
        <v>#N/A</v>
      </c>
      <c r="Y119" t="e">
        <f t="shared" si="94"/>
        <v>#N/A</v>
      </c>
      <c r="Z119" t="e">
        <f t="shared" ca="1" si="95"/>
        <v>#N/A</v>
      </c>
      <c r="AA119" s="75" t="e">
        <f ca="1">SUM($Z$117:Z119)</f>
        <v>#N/A</v>
      </c>
      <c r="AB119" t="e">
        <f t="shared" ca="1" si="96"/>
        <v>#N/A</v>
      </c>
      <c r="AC119" s="78" t="e">
        <f ca="1">SUM($AB$117:AB119)</f>
        <v>#N/A</v>
      </c>
      <c r="AD119" t="e">
        <f t="shared" ca="1" si="97"/>
        <v>#N/A</v>
      </c>
      <c r="AE119" t="e">
        <f t="shared" ca="1" si="98"/>
        <v>#N/A</v>
      </c>
      <c r="AF119" t="e">
        <f t="shared" ca="1" si="99"/>
        <v>#N/A</v>
      </c>
      <c r="AG119" t="e">
        <f ca="1">AF118*1</f>
        <v>#N/A</v>
      </c>
      <c r="AH119" t="e">
        <f t="shared" ca="1" si="106"/>
        <v>#N/A</v>
      </c>
      <c r="AI119" t="e">
        <f t="shared" ca="1" si="107"/>
        <v>#N/A</v>
      </c>
      <c r="AJ119" t="e">
        <f ca="1">SUM($AI$117:AI119)</f>
        <v>#N/A</v>
      </c>
      <c r="AK119" t="e">
        <f ca="1">AI119+AD119</f>
        <v>#N/A</v>
      </c>
      <c r="AL119" t="e">
        <f ca="1">SUM($AK$117:AK119)</f>
        <v>#N/A</v>
      </c>
      <c r="AM119" s="248"/>
      <c r="AN119" s="248">
        <f>SUM($T$117:T119)+SUM($AM$117:AM119)</f>
        <v>0</v>
      </c>
      <c r="AP119">
        <f>SUM($AO$117:AO119)</f>
        <v>0</v>
      </c>
      <c r="AQ119" t="e">
        <f t="shared" ca="1" si="108"/>
        <v>#N/A</v>
      </c>
      <c r="AR119" t="e">
        <f t="shared" ca="1" si="100"/>
        <v>#N/A</v>
      </c>
      <c r="AS119" t="e">
        <f t="shared" ca="1" si="109"/>
        <v>#N/A</v>
      </c>
      <c r="AT119" t="e">
        <f t="shared" ca="1" si="110"/>
        <v>#N/A</v>
      </c>
      <c r="AU119" t="e">
        <f t="shared" ca="1" si="111"/>
        <v>#N/A</v>
      </c>
      <c r="AW119" s="75"/>
      <c r="AX119" s="544"/>
    </row>
    <row r="120" spans="2:52" x14ac:dyDescent="0.25">
      <c r="B120" s="105">
        <f t="shared" si="112"/>
        <v>3</v>
      </c>
      <c r="C120">
        <v>4</v>
      </c>
      <c r="D120" s="78" t="e">
        <f ca="1">'PEP Impact Model'!J22</f>
        <v>#N/A</v>
      </c>
      <c r="E120" s="305" t="e">
        <f ca="1">IF(D120+X119&lt;0,1,D120+X119)</f>
        <v>#N/A</v>
      </c>
      <c r="F120" t="e">
        <f t="shared" ca="1" si="101"/>
        <v>#N/A</v>
      </c>
      <c r="G120" t="e">
        <f ca="1">SUM($F$117:F120)</f>
        <v>#N/A</v>
      </c>
      <c r="H120" t="e">
        <f t="shared" si="89"/>
        <v>#N/A</v>
      </c>
      <c r="I120" t="e">
        <f t="shared" ca="1" si="90"/>
        <v>#N/A</v>
      </c>
      <c r="J120" t="e">
        <f ca="1">SUM($I$117:I120)</f>
        <v>#N/A</v>
      </c>
      <c r="K120" t="e">
        <f t="shared" ca="1" si="91"/>
        <v>#N/A</v>
      </c>
      <c r="L120" t="e">
        <f t="shared" ca="1" si="92"/>
        <v>#N/A</v>
      </c>
      <c r="M120" s="888">
        <f t="shared" si="102"/>
        <v>0.5</v>
      </c>
      <c r="N120" s="248" t="e">
        <f t="shared" ca="1" si="103"/>
        <v>#N/A</v>
      </c>
      <c r="O120" s="248" t="e">
        <f t="shared" ca="1" si="104"/>
        <v>#N/A</v>
      </c>
      <c r="P120" s="889" t="e">
        <f ca="1">ROUND(N117*$D$14+N118*$D$14+N119*$D$14+N120*$D$14,0)</f>
        <v>#N/A</v>
      </c>
      <c r="Q120" s="244" t="e">
        <f ca="1">SUM($P$117:P120)+SUM($V$117:V120)</f>
        <v>#N/A</v>
      </c>
      <c r="S120" s="248">
        <f>SUM($R$117:R120)</f>
        <v>0</v>
      </c>
      <c r="U120" s="244">
        <f>SUM($T$117:T120)</f>
        <v>0</v>
      </c>
      <c r="V120" s="75" t="e">
        <f t="shared" ca="1" si="105"/>
        <v>#N/A</v>
      </c>
      <c r="W120" s="75" t="e">
        <f ca="1">SUM($V$117:V120)</f>
        <v>#N/A</v>
      </c>
      <c r="X120" s="78" t="e">
        <f t="shared" ca="1" si="93"/>
        <v>#N/A</v>
      </c>
      <c r="Y120" t="e">
        <f t="shared" si="94"/>
        <v>#N/A</v>
      </c>
      <c r="Z120" t="e">
        <f t="shared" ca="1" si="95"/>
        <v>#N/A</v>
      </c>
      <c r="AA120" s="75" t="e">
        <f ca="1">SUM($Z$117:Z120)</f>
        <v>#N/A</v>
      </c>
      <c r="AB120" t="e">
        <f t="shared" ca="1" si="96"/>
        <v>#N/A</v>
      </c>
      <c r="AC120" s="78" t="e">
        <f ca="1">SUM($AB$117:AB120)</f>
        <v>#N/A</v>
      </c>
      <c r="AD120" t="e">
        <f t="shared" ca="1" si="97"/>
        <v>#N/A</v>
      </c>
      <c r="AE120" t="e">
        <f t="shared" ca="1" si="98"/>
        <v>#N/A</v>
      </c>
      <c r="AF120" t="e">
        <f t="shared" ca="1" si="99"/>
        <v>#N/A</v>
      </c>
      <c r="AG120" t="e">
        <f ca="1">AF119*1</f>
        <v>#N/A</v>
      </c>
      <c r="AH120" t="e">
        <f t="shared" ca="1" si="106"/>
        <v>#N/A</v>
      </c>
      <c r="AI120" t="e">
        <f t="shared" ca="1" si="107"/>
        <v>#N/A</v>
      </c>
      <c r="AJ120" t="e">
        <f ca="1">SUM($AI$117:AI120)</f>
        <v>#N/A</v>
      </c>
      <c r="AK120" t="e">
        <f ca="1">AI120+AD120</f>
        <v>#N/A</v>
      </c>
      <c r="AL120" t="e">
        <f ca="1">SUM($AK$117:AK120)</f>
        <v>#N/A</v>
      </c>
      <c r="AM120" s="248"/>
      <c r="AN120" s="248">
        <f>SUM($T$117:T120)+SUM($AM$117:AM120)</f>
        <v>0</v>
      </c>
      <c r="AP120">
        <f>SUM($AO$117:AO120)</f>
        <v>0</v>
      </c>
      <c r="AQ120" t="e">
        <f t="shared" ca="1" si="108"/>
        <v>#N/A</v>
      </c>
      <c r="AR120" t="e">
        <f t="shared" ca="1" si="100"/>
        <v>#N/A</v>
      </c>
      <c r="AS120" t="e">
        <f t="shared" ca="1" si="109"/>
        <v>#N/A</v>
      </c>
      <c r="AT120" t="e">
        <f t="shared" ca="1" si="110"/>
        <v>#N/A</v>
      </c>
      <c r="AU120" t="e">
        <f t="shared" ca="1" si="111"/>
        <v>#N/A</v>
      </c>
      <c r="AW120" s="75"/>
      <c r="AX120" s="544"/>
    </row>
    <row r="121" spans="2:52" x14ac:dyDescent="0.25">
      <c r="B121" s="105">
        <f t="shared" si="112"/>
        <v>4</v>
      </c>
      <c r="C121">
        <v>5</v>
      </c>
      <c r="D121" s="78" t="e">
        <f ca="1">'PEP Impact Model'!J23</f>
        <v>#N/A</v>
      </c>
      <c r="E121" s="78" t="e">
        <f t="shared" ref="E121:E152" ca="1" si="113">IF(D117&lt;0.5,0,IF(D121+X120&lt;0,1,D121+X120))</f>
        <v>#N/A</v>
      </c>
      <c r="F121" t="e">
        <f t="shared" ca="1" si="101"/>
        <v>#N/A</v>
      </c>
      <c r="G121" t="e">
        <f ca="1">SUM($F$117:F121)</f>
        <v>#N/A</v>
      </c>
      <c r="H121" t="e">
        <f t="shared" si="89"/>
        <v>#N/A</v>
      </c>
      <c r="I121" t="e">
        <f t="shared" ca="1" si="90"/>
        <v>#N/A</v>
      </c>
      <c r="J121" t="e">
        <f ca="1">SUM($I$117:I121)</f>
        <v>#N/A</v>
      </c>
      <c r="K121" t="e">
        <f t="shared" ca="1" si="91"/>
        <v>#N/A</v>
      </c>
      <c r="L121" t="e">
        <f t="shared" ca="1" si="92"/>
        <v>#N/A</v>
      </c>
      <c r="M121" s="888">
        <f t="shared" si="102"/>
        <v>0.5</v>
      </c>
      <c r="N121" s="248" t="e">
        <f t="shared" ca="1" si="103"/>
        <v>#N/A</v>
      </c>
      <c r="O121" s="248" t="e">
        <f t="shared" ca="1" si="104"/>
        <v>#N/A</v>
      </c>
      <c r="P121" s="248" t="e">
        <f ca="1">ROUND(N117*$D$14+N118*$D$14+N119*$D$14+N120*$D$14+N121*$D$14,0)</f>
        <v>#N/A</v>
      </c>
      <c r="Q121" s="244" t="e">
        <f ca="1">SUM($P$117:P121)+SUM($V$117:V121)</f>
        <v>#N/A</v>
      </c>
      <c r="S121" s="248">
        <f>SUM($R$117:R121)</f>
        <v>0</v>
      </c>
      <c r="U121" s="244">
        <f>SUM($T$117:T121)</f>
        <v>0</v>
      </c>
      <c r="V121" s="75" t="e">
        <f t="shared" ca="1" si="105"/>
        <v>#N/A</v>
      </c>
      <c r="W121" s="75" t="e">
        <f ca="1">SUM($V$117:V121)</f>
        <v>#N/A</v>
      </c>
      <c r="X121" s="78" t="e">
        <f t="shared" ca="1" si="93"/>
        <v>#N/A</v>
      </c>
      <c r="Y121" t="e">
        <f t="shared" si="94"/>
        <v>#N/A</v>
      </c>
      <c r="Z121" t="e">
        <f t="shared" ca="1" si="95"/>
        <v>#N/A</v>
      </c>
      <c r="AA121" s="75" t="e">
        <f ca="1">SUM($Z$117:Z121)</f>
        <v>#N/A</v>
      </c>
      <c r="AB121" t="e">
        <f t="shared" ca="1" si="96"/>
        <v>#N/A</v>
      </c>
      <c r="AC121" s="78" t="e">
        <f ca="1">SUM($AB$117:AB121)</f>
        <v>#N/A</v>
      </c>
      <c r="AD121" t="e">
        <f t="shared" ca="1" si="97"/>
        <v>#N/A</v>
      </c>
      <c r="AE121" t="e">
        <f t="shared" ca="1" si="98"/>
        <v>#N/A</v>
      </c>
      <c r="AF121" t="e">
        <f t="shared" ca="1" si="99"/>
        <v>#N/A</v>
      </c>
      <c r="AG121" t="e">
        <f ca="1">AF120*1</f>
        <v>#N/A</v>
      </c>
      <c r="AH121" t="e">
        <f t="shared" ca="1" si="106"/>
        <v>#N/A</v>
      </c>
      <c r="AI121" t="e">
        <f t="shared" ca="1" si="107"/>
        <v>#N/A</v>
      </c>
      <c r="AJ121" t="e">
        <f ca="1">SUM($AI$117:AI121)</f>
        <v>#N/A</v>
      </c>
      <c r="AK121" t="e">
        <f ca="1">AI121+AD121</f>
        <v>#N/A</v>
      </c>
      <c r="AL121" t="e">
        <f ca="1">SUM($AK$117:AK121)</f>
        <v>#N/A</v>
      </c>
      <c r="AM121" s="248"/>
      <c r="AN121" s="248">
        <f>SUM($T$117:T121)+SUM($AM$117:AM121)</f>
        <v>0</v>
      </c>
      <c r="AP121">
        <f>SUM($AO$117:AO121)</f>
        <v>0</v>
      </c>
      <c r="AQ121" t="e">
        <f t="shared" ca="1" si="108"/>
        <v>#N/A</v>
      </c>
      <c r="AR121" t="e">
        <f t="shared" ca="1" si="100"/>
        <v>#N/A</v>
      </c>
      <c r="AS121" t="e">
        <f t="shared" ca="1" si="109"/>
        <v>#N/A</v>
      </c>
      <c r="AT121" t="e">
        <f t="shared" ca="1" si="110"/>
        <v>#N/A</v>
      </c>
      <c r="AU121" t="e">
        <f t="shared" ca="1" si="111"/>
        <v>#N/A</v>
      </c>
      <c r="AW121" s="75"/>
      <c r="AX121" s="544"/>
    </row>
    <row r="122" spans="2:52" x14ac:dyDescent="0.25">
      <c r="B122" s="105">
        <f t="shared" si="112"/>
        <v>5</v>
      </c>
      <c r="C122">
        <v>6</v>
      </c>
      <c r="D122" s="78" t="e">
        <f ca="1">'PEP Impact Model'!J24</f>
        <v>#N/A</v>
      </c>
      <c r="E122" s="78" t="e">
        <f t="shared" ca="1" si="113"/>
        <v>#N/A</v>
      </c>
      <c r="F122" t="e">
        <f t="shared" ca="1" si="101"/>
        <v>#N/A</v>
      </c>
      <c r="G122" t="e">
        <f ca="1">SUM($F$117:F122)</f>
        <v>#N/A</v>
      </c>
      <c r="H122" t="e">
        <f t="shared" si="89"/>
        <v>#N/A</v>
      </c>
      <c r="I122" t="e">
        <f t="shared" ca="1" si="90"/>
        <v>#N/A</v>
      </c>
      <c r="J122" t="e">
        <f ca="1">SUM($I$117:I122)</f>
        <v>#N/A</v>
      </c>
      <c r="K122" t="e">
        <f t="shared" ca="1" si="91"/>
        <v>#N/A</v>
      </c>
      <c r="L122" t="e">
        <f t="shared" ca="1" si="92"/>
        <v>#N/A</v>
      </c>
      <c r="M122" s="888">
        <f t="shared" si="102"/>
        <v>0.5</v>
      </c>
      <c r="N122" s="248" t="e">
        <f t="shared" ca="1" si="103"/>
        <v>#N/A</v>
      </c>
      <c r="O122" s="248" t="e">
        <f t="shared" ca="1" si="104"/>
        <v>#N/A</v>
      </c>
      <c r="P122" s="248" t="e">
        <f ca="1">ROUND(N118*$D$14+N119*$D$14+N120*$D$14+N121*$D$14+N122*$D$14,0)</f>
        <v>#N/A</v>
      </c>
      <c r="Q122" s="244" t="e">
        <f ca="1">SUM($P$117:P122)+SUM($V$117:V122)</f>
        <v>#N/A</v>
      </c>
      <c r="R122" s="406"/>
      <c r="S122" s="248">
        <f>SUM($R$117:R122)</f>
        <v>0</v>
      </c>
      <c r="T122" s="406"/>
      <c r="U122" s="244">
        <f>SUM($T$117:T122)</f>
        <v>0</v>
      </c>
      <c r="V122" s="75" t="e">
        <f t="shared" ca="1" si="105"/>
        <v>#N/A</v>
      </c>
      <c r="W122" s="75" t="e">
        <f ca="1">SUM($V$117:V122)</f>
        <v>#N/A</v>
      </c>
      <c r="X122" s="78" t="e">
        <f t="shared" ca="1" si="93"/>
        <v>#N/A</v>
      </c>
      <c r="Y122" t="e">
        <f t="shared" si="94"/>
        <v>#N/A</v>
      </c>
      <c r="Z122" t="e">
        <f t="shared" ca="1" si="95"/>
        <v>#N/A</v>
      </c>
      <c r="AA122" s="75" t="e">
        <f ca="1">SUM($Z$117:Z122)</f>
        <v>#N/A</v>
      </c>
      <c r="AB122" t="e">
        <f t="shared" ca="1" si="96"/>
        <v>#N/A</v>
      </c>
      <c r="AC122" s="78" t="e">
        <f ca="1">SUM($AB$117:AB122)</f>
        <v>#N/A</v>
      </c>
      <c r="AD122" t="e">
        <f t="shared" ca="1" si="97"/>
        <v>#N/A</v>
      </c>
      <c r="AE122" t="e">
        <f t="shared" ca="1" si="98"/>
        <v>#N/A</v>
      </c>
      <c r="AF122" t="e">
        <f t="shared" ca="1" si="99"/>
        <v>#N/A</v>
      </c>
      <c r="AG122" t="e">
        <f ca="1">AF121*1</f>
        <v>#N/A</v>
      </c>
      <c r="AH122" t="e">
        <f t="shared" ca="1" si="106"/>
        <v>#N/A</v>
      </c>
      <c r="AI122" t="e">
        <f t="shared" ca="1" si="107"/>
        <v>#N/A</v>
      </c>
      <c r="AJ122" t="e">
        <f ca="1">SUM($AI$117:AI122)</f>
        <v>#N/A</v>
      </c>
      <c r="AK122" t="e">
        <f t="shared" ref="AK122:AK185" ca="1" si="114">AI122+AD122</f>
        <v>#N/A</v>
      </c>
      <c r="AL122" t="e">
        <f ca="1">SUM($AK$117:AK122)</f>
        <v>#N/A</v>
      </c>
      <c r="AM122" s="406"/>
      <c r="AN122" s="248">
        <f>SUM($T$117:T122)+SUM($AM$117:AM122)</f>
        <v>0</v>
      </c>
      <c r="AO122" s="389"/>
      <c r="AP122">
        <f>SUM($AO$117:AO122)</f>
        <v>0</v>
      </c>
      <c r="AQ122" t="e">
        <f t="shared" ca="1" si="108"/>
        <v>#N/A</v>
      </c>
      <c r="AR122" t="e">
        <f t="shared" ca="1" si="100"/>
        <v>#N/A</v>
      </c>
      <c r="AS122" t="e">
        <f t="shared" ca="1" si="109"/>
        <v>#N/A</v>
      </c>
      <c r="AT122" t="e">
        <f t="shared" ca="1" si="110"/>
        <v>#N/A</v>
      </c>
      <c r="AU122" t="e">
        <f t="shared" ca="1" si="111"/>
        <v>#N/A</v>
      </c>
      <c r="AW122" s="75"/>
      <c r="AX122" s="544"/>
    </row>
    <row r="123" spans="2:52" x14ac:dyDescent="0.25">
      <c r="B123" s="105">
        <f t="shared" si="112"/>
        <v>6</v>
      </c>
      <c r="C123">
        <v>7</v>
      </c>
      <c r="D123" s="78" t="e">
        <f ca="1">'PEP Impact Model'!J25</f>
        <v>#N/A</v>
      </c>
      <c r="E123" s="78" t="e">
        <f t="shared" ca="1" si="113"/>
        <v>#N/A</v>
      </c>
      <c r="F123" t="e">
        <f t="shared" ca="1" si="101"/>
        <v>#N/A</v>
      </c>
      <c r="G123" t="e">
        <f ca="1">SUM($F$117:F123)</f>
        <v>#N/A</v>
      </c>
      <c r="H123" t="e">
        <f t="shared" si="89"/>
        <v>#N/A</v>
      </c>
      <c r="I123" t="e">
        <f t="shared" ca="1" si="90"/>
        <v>#N/A</v>
      </c>
      <c r="J123" t="e">
        <f ca="1">SUM($I$117:I123)</f>
        <v>#N/A</v>
      </c>
      <c r="K123" t="e">
        <f t="shared" ca="1" si="91"/>
        <v>#N/A</v>
      </c>
      <c r="L123" t="e">
        <f t="shared" ca="1" si="92"/>
        <v>#N/A</v>
      </c>
      <c r="M123" s="888">
        <f t="shared" si="102"/>
        <v>0.5</v>
      </c>
      <c r="N123" s="248" t="e">
        <f t="shared" ca="1" si="103"/>
        <v>#N/A</v>
      </c>
      <c r="O123" s="248" t="e">
        <f t="shared" ca="1" si="104"/>
        <v>#N/A</v>
      </c>
      <c r="P123" s="248" t="e">
        <f t="shared" ref="P123:P186" ca="1" si="115">ROUND(N119*$D$14+N120*$D$14+N121*$D$14+N122*$D$14+N123*$D$14,0)</f>
        <v>#N/A</v>
      </c>
      <c r="Q123" s="244" t="e">
        <f ca="1">SUM($P$117:P123)+SUM($V$117:V123)</f>
        <v>#N/A</v>
      </c>
      <c r="R123" s="407" t="e">
        <f ca="1">ROUND(O117*$AX$27,0)</f>
        <v>#N/A</v>
      </c>
      <c r="S123" s="248" t="e">
        <f ca="1">SUM($R$117:R123)</f>
        <v>#N/A</v>
      </c>
      <c r="T123" s="407" t="e">
        <f ca="1">ROUND(P117*$AX$27,0)</f>
        <v>#N/A</v>
      </c>
      <c r="U123" s="244" t="e">
        <f ca="1">SUM($T$117:T123)</f>
        <v>#N/A</v>
      </c>
      <c r="V123" t="e">
        <f t="shared" ca="1" si="105"/>
        <v>#N/A</v>
      </c>
      <c r="W123" s="75" t="e">
        <f ca="1">SUM($V$117:V123)</f>
        <v>#N/A</v>
      </c>
      <c r="X123" s="78" t="e">
        <f t="shared" ca="1" si="93"/>
        <v>#N/A</v>
      </c>
      <c r="Y123" t="e">
        <f t="shared" si="94"/>
        <v>#N/A</v>
      </c>
      <c r="Z123" t="e">
        <f t="shared" ca="1" si="95"/>
        <v>#N/A</v>
      </c>
      <c r="AA123" s="75" t="e">
        <f ca="1">SUM($Z$117:Z123)</f>
        <v>#N/A</v>
      </c>
      <c r="AB123" t="e">
        <f t="shared" ca="1" si="96"/>
        <v>#N/A</v>
      </c>
      <c r="AC123" s="78" t="e">
        <f ca="1">SUM($AB$117:AB123)</f>
        <v>#N/A</v>
      </c>
      <c r="AD123" t="e">
        <f t="shared" ca="1" si="97"/>
        <v>#N/A</v>
      </c>
      <c r="AE123" t="e">
        <f t="shared" ca="1" si="98"/>
        <v>#N/A</v>
      </c>
      <c r="AF123" t="e">
        <f t="shared" ca="1" si="99"/>
        <v>#N/A</v>
      </c>
      <c r="AG123" t="e">
        <f t="shared" ref="AG123:AG186" ca="1" si="116">AF122*1</f>
        <v>#N/A</v>
      </c>
      <c r="AH123" t="e">
        <f t="shared" ca="1" si="106"/>
        <v>#N/A</v>
      </c>
      <c r="AI123" t="e">
        <f t="shared" ca="1" si="107"/>
        <v>#N/A</v>
      </c>
      <c r="AJ123" t="e">
        <f ca="1">SUM($AI$117:AI123)</f>
        <v>#N/A</v>
      </c>
      <c r="AK123" t="e">
        <f t="shared" ca="1" si="114"/>
        <v>#N/A</v>
      </c>
      <c r="AL123" t="e">
        <f ca="1">SUM($AK$117:AK123)</f>
        <v>#N/A</v>
      </c>
      <c r="AM123" s="407" t="e">
        <f ca="1">ROUND(AE117*$AX$27,0)</f>
        <v>#N/A</v>
      </c>
      <c r="AN123" s="248" t="e">
        <f ca="1">SUM($T$117:T123)+SUM($AM$117:AM123)</f>
        <v>#N/A</v>
      </c>
      <c r="AO123" t="e">
        <f ca="1">SUM(AM123,T123,R123)</f>
        <v>#N/A</v>
      </c>
      <c r="AP123" t="e">
        <f ca="1">SUM($AO$117:AO123)</f>
        <v>#N/A</v>
      </c>
      <c r="AQ123" t="e">
        <f t="shared" ca="1" si="108"/>
        <v>#N/A</v>
      </c>
      <c r="AR123" t="e">
        <f t="shared" ca="1" si="100"/>
        <v>#N/A</v>
      </c>
      <c r="AS123" t="e">
        <f t="shared" ca="1" si="109"/>
        <v>#N/A</v>
      </c>
      <c r="AT123" t="e">
        <f t="shared" ca="1" si="110"/>
        <v>#N/A</v>
      </c>
      <c r="AU123" t="e">
        <f t="shared" ca="1" si="111"/>
        <v>#N/A</v>
      </c>
      <c r="AW123" s="75"/>
      <c r="AX123" s="544"/>
    </row>
    <row r="124" spans="2:52" x14ac:dyDescent="0.25">
      <c r="B124" s="105">
        <f t="shared" si="112"/>
        <v>7</v>
      </c>
      <c r="C124">
        <v>8</v>
      </c>
      <c r="D124" s="78" t="e">
        <f ca="1">'PEP Impact Model'!J26</f>
        <v>#N/A</v>
      </c>
      <c r="E124" s="78" t="e">
        <f t="shared" ca="1" si="113"/>
        <v>#N/A</v>
      </c>
      <c r="F124" t="e">
        <f t="shared" ca="1" si="101"/>
        <v>#N/A</v>
      </c>
      <c r="G124" t="e">
        <f ca="1">SUM($F$117:F124)</f>
        <v>#N/A</v>
      </c>
      <c r="H124" t="e">
        <f t="shared" si="89"/>
        <v>#N/A</v>
      </c>
      <c r="I124" t="e">
        <f t="shared" ca="1" si="90"/>
        <v>#N/A</v>
      </c>
      <c r="J124" t="e">
        <f ca="1">SUM($I$117:I124)</f>
        <v>#N/A</v>
      </c>
      <c r="K124" t="e">
        <f t="shared" ca="1" si="91"/>
        <v>#N/A</v>
      </c>
      <c r="L124" t="e">
        <f t="shared" ca="1" si="92"/>
        <v>#N/A</v>
      </c>
      <c r="M124" s="888">
        <f t="shared" si="102"/>
        <v>0.5</v>
      </c>
      <c r="N124" s="248" t="e">
        <f t="shared" ca="1" si="103"/>
        <v>#N/A</v>
      </c>
      <c r="O124" s="248" t="e">
        <f t="shared" ca="1" si="104"/>
        <v>#N/A</v>
      </c>
      <c r="P124" s="248" t="e">
        <f t="shared" ca="1" si="115"/>
        <v>#N/A</v>
      </c>
      <c r="Q124" s="244" t="e">
        <f ca="1">SUM($P$117:P124)+SUM($V$117:V124)</f>
        <v>#N/A</v>
      </c>
      <c r="R124" s="407" t="e">
        <f ca="1">ROUND((O117*$AX$28)+(O118*$AX$27),0)</f>
        <v>#N/A</v>
      </c>
      <c r="S124" s="248" t="e">
        <f ca="1">SUM($R$117:R124)</f>
        <v>#N/A</v>
      </c>
      <c r="T124" s="407" t="e">
        <f ca="1">ROUND((P117*$AX$28)+(P118*$AX$27),0)</f>
        <v>#N/A</v>
      </c>
      <c r="U124" s="244" t="e">
        <f ca="1">SUM($T$117:T124)</f>
        <v>#N/A</v>
      </c>
      <c r="V124" t="e">
        <f t="shared" ca="1" si="105"/>
        <v>#N/A</v>
      </c>
      <c r="W124" s="75" t="e">
        <f ca="1">SUM($V$117:V124)</f>
        <v>#N/A</v>
      </c>
      <c r="X124" s="78" t="e">
        <f t="shared" ca="1" si="93"/>
        <v>#N/A</v>
      </c>
      <c r="Y124" t="e">
        <f t="shared" si="94"/>
        <v>#N/A</v>
      </c>
      <c r="Z124" t="e">
        <f t="shared" ca="1" si="95"/>
        <v>#N/A</v>
      </c>
      <c r="AA124" s="75" t="e">
        <f ca="1">SUM($Z$117:Z124)</f>
        <v>#N/A</v>
      </c>
      <c r="AB124" t="e">
        <f t="shared" ca="1" si="96"/>
        <v>#N/A</v>
      </c>
      <c r="AC124" s="78" t="e">
        <f ca="1">SUM($AB$117:AB124)</f>
        <v>#N/A</v>
      </c>
      <c r="AD124" t="e">
        <f t="shared" ca="1" si="97"/>
        <v>#N/A</v>
      </c>
      <c r="AE124" t="e">
        <f t="shared" ca="1" si="98"/>
        <v>#N/A</v>
      </c>
      <c r="AF124" t="e">
        <f t="shared" ca="1" si="99"/>
        <v>#N/A</v>
      </c>
      <c r="AG124" t="e">
        <f t="shared" ca="1" si="116"/>
        <v>#N/A</v>
      </c>
      <c r="AH124" t="e">
        <f t="shared" ca="1" si="106"/>
        <v>#N/A</v>
      </c>
      <c r="AI124" t="e">
        <f t="shared" ca="1" si="107"/>
        <v>#N/A</v>
      </c>
      <c r="AJ124" t="e">
        <f ca="1">SUM($AI$117:AI124)</f>
        <v>#N/A</v>
      </c>
      <c r="AK124" t="e">
        <f t="shared" ca="1" si="114"/>
        <v>#N/A</v>
      </c>
      <c r="AL124" t="e">
        <f ca="1">SUM($AK$117:AK124)</f>
        <v>#N/A</v>
      </c>
      <c r="AM124" s="407" t="e">
        <f ca="1">ROUND((AE117*$AX$28)+(AE118*$AX$27),0)</f>
        <v>#N/A</v>
      </c>
      <c r="AN124" s="248" t="e">
        <f ca="1">SUM($T$117:T124)+SUM($AM$117:AM124)</f>
        <v>#N/A</v>
      </c>
      <c r="AO124" t="e">
        <f t="shared" ref="AO124:AO187" ca="1" si="117">SUM(AM124,T124,R124)</f>
        <v>#N/A</v>
      </c>
      <c r="AP124" t="e">
        <f ca="1">SUM($AO$117:AO124)</f>
        <v>#N/A</v>
      </c>
      <c r="AQ124" t="e">
        <f t="shared" ca="1" si="108"/>
        <v>#N/A</v>
      </c>
      <c r="AR124" t="e">
        <f t="shared" ca="1" si="100"/>
        <v>#N/A</v>
      </c>
      <c r="AS124" t="e">
        <f t="shared" ca="1" si="109"/>
        <v>#N/A</v>
      </c>
      <c r="AT124" t="e">
        <f t="shared" ca="1" si="110"/>
        <v>#N/A</v>
      </c>
      <c r="AU124" t="e">
        <f t="shared" ca="1" si="111"/>
        <v>#N/A</v>
      </c>
      <c r="AW124" s="75"/>
      <c r="AX124" s="544"/>
    </row>
    <row r="125" spans="2:52" x14ac:dyDescent="0.25">
      <c r="B125" s="105">
        <f t="shared" si="112"/>
        <v>8</v>
      </c>
      <c r="C125">
        <v>9</v>
      </c>
      <c r="D125" s="78" t="e">
        <f ca="1">'PEP Impact Model'!J27</f>
        <v>#N/A</v>
      </c>
      <c r="E125" s="78" t="e">
        <f t="shared" ca="1" si="113"/>
        <v>#N/A</v>
      </c>
      <c r="F125" t="e">
        <f t="shared" ca="1" si="101"/>
        <v>#N/A</v>
      </c>
      <c r="G125" t="e">
        <f ca="1">SUM($F$117:F125)</f>
        <v>#N/A</v>
      </c>
      <c r="H125" t="e">
        <f t="shared" si="89"/>
        <v>#N/A</v>
      </c>
      <c r="I125" t="e">
        <f t="shared" ca="1" si="90"/>
        <v>#N/A</v>
      </c>
      <c r="J125" t="e">
        <f ca="1">SUM($I$117:I125)</f>
        <v>#N/A</v>
      </c>
      <c r="K125" t="e">
        <f t="shared" ca="1" si="91"/>
        <v>#N/A</v>
      </c>
      <c r="L125" t="e">
        <f t="shared" ca="1" si="92"/>
        <v>#N/A</v>
      </c>
      <c r="M125" s="888">
        <f t="shared" si="102"/>
        <v>0.5</v>
      </c>
      <c r="N125" s="248" t="e">
        <f t="shared" ca="1" si="103"/>
        <v>#N/A</v>
      </c>
      <c r="O125" s="248" t="e">
        <f t="shared" ca="1" si="104"/>
        <v>#N/A</v>
      </c>
      <c r="P125" s="248" t="e">
        <f t="shared" ca="1" si="115"/>
        <v>#N/A</v>
      </c>
      <c r="Q125" s="244" t="e">
        <f ca="1">SUM($P$117:P125)+SUM($V$117:V125)</f>
        <v>#N/A</v>
      </c>
      <c r="R125" s="407" t="e">
        <f ca="1">ROUND((O117*$AX$29)+(O118*$AX$28)+(O119*$AX$27),0)</f>
        <v>#N/A</v>
      </c>
      <c r="S125" s="248" t="e">
        <f ca="1">SUM($R$117:R125)</f>
        <v>#N/A</v>
      </c>
      <c r="T125" s="407" t="e">
        <f ca="1">ROUND((P117*$AX$29)+(P118*$AX$28)+(P119*$AX$27),0)</f>
        <v>#N/A</v>
      </c>
      <c r="U125" s="244" t="e">
        <f ca="1">SUM($T$117:T125)</f>
        <v>#N/A</v>
      </c>
      <c r="V125" t="e">
        <f t="shared" ca="1" si="105"/>
        <v>#N/A</v>
      </c>
      <c r="W125" s="75" t="e">
        <f ca="1">SUM($V$117:V125)</f>
        <v>#N/A</v>
      </c>
      <c r="X125" s="78" t="e">
        <f t="shared" ca="1" si="93"/>
        <v>#N/A</v>
      </c>
      <c r="Y125" t="e">
        <f t="shared" si="94"/>
        <v>#N/A</v>
      </c>
      <c r="Z125" t="e">
        <f t="shared" ca="1" si="95"/>
        <v>#N/A</v>
      </c>
      <c r="AA125" s="75" t="e">
        <f ca="1">SUM($Z$117:Z125)</f>
        <v>#N/A</v>
      </c>
      <c r="AB125" t="e">
        <f t="shared" ca="1" si="96"/>
        <v>#N/A</v>
      </c>
      <c r="AC125" s="78" t="e">
        <f ca="1">SUM($AB$117:AB125)</f>
        <v>#N/A</v>
      </c>
      <c r="AD125" t="e">
        <f t="shared" ca="1" si="97"/>
        <v>#N/A</v>
      </c>
      <c r="AE125" t="e">
        <f t="shared" ca="1" si="98"/>
        <v>#N/A</v>
      </c>
      <c r="AF125" t="e">
        <f t="shared" ca="1" si="99"/>
        <v>#N/A</v>
      </c>
      <c r="AG125" t="e">
        <f t="shared" ca="1" si="116"/>
        <v>#N/A</v>
      </c>
      <c r="AH125" t="e">
        <f t="shared" ca="1" si="106"/>
        <v>#N/A</v>
      </c>
      <c r="AI125" t="e">
        <f t="shared" ca="1" si="107"/>
        <v>#N/A</v>
      </c>
      <c r="AJ125" t="e">
        <f ca="1">SUM($AI$117:AI125)</f>
        <v>#N/A</v>
      </c>
      <c r="AK125" t="e">
        <f t="shared" ca="1" si="114"/>
        <v>#N/A</v>
      </c>
      <c r="AL125" t="e">
        <f ca="1">SUM($AK$117:AK125)</f>
        <v>#N/A</v>
      </c>
      <c r="AM125" s="407" t="e">
        <f ca="1">ROUND((AE117*$AX$29)+(AE118*$AX$28)+(AE119*$AX$27),0)</f>
        <v>#N/A</v>
      </c>
      <c r="AN125" s="248" t="e">
        <f ca="1">SUM($T$117:T125)+SUM($AM$117:AM125)</f>
        <v>#N/A</v>
      </c>
      <c r="AO125" t="e">
        <f t="shared" ca="1" si="117"/>
        <v>#N/A</v>
      </c>
      <c r="AP125" t="e">
        <f ca="1">SUM($AO$117:AO125)</f>
        <v>#N/A</v>
      </c>
      <c r="AQ125" t="e">
        <f t="shared" ca="1" si="108"/>
        <v>#N/A</v>
      </c>
      <c r="AR125" t="e">
        <f t="shared" ca="1" si="100"/>
        <v>#N/A</v>
      </c>
      <c r="AS125" t="e">
        <f t="shared" ca="1" si="109"/>
        <v>#N/A</v>
      </c>
      <c r="AT125" t="e">
        <f t="shared" ca="1" si="110"/>
        <v>#N/A</v>
      </c>
      <c r="AU125" t="e">
        <f t="shared" ca="1" si="111"/>
        <v>#N/A</v>
      </c>
      <c r="AW125" s="75"/>
      <c r="AX125" s="544"/>
    </row>
    <row r="126" spans="2:52" x14ac:dyDescent="0.25">
      <c r="B126" s="105">
        <f t="shared" si="112"/>
        <v>9</v>
      </c>
      <c r="C126">
        <v>10</v>
      </c>
      <c r="D126" s="78" t="e">
        <f ca="1">'PEP Impact Model'!J28</f>
        <v>#N/A</v>
      </c>
      <c r="E126" s="78" t="e">
        <f t="shared" ca="1" si="113"/>
        <v>#N/A</v>
      </c>
      <c r="F126" t="e">
        <f t="shared" ca="1" si="101"/>
        <v>#N/A</v>
      </c>
      <c r="G126" t="e">
        <f ca="1">SUM($F$117:F126)</f>
        <v>#N/A</v>
      </c>
      <c r="H126" t="e">
        <f t="shared" si="89"/>
        <v>#N/A</v>
      </c>
      <c r="I126" t="e">
        <f t="shared" ca="1" si="90"/>
        <v>#N/A</v>
      </c>
      <c r="J126" t="e">
        <f ca="1">SUM($I$117:I126)</f>
        <v>#N/A</v>
      </c>
      <c r="K126" t="e">
        <f t="shared" ca="1" si="91"/>
        <v>#N/A</v>
      </c>
      <c r="L126" t="e">
        <f t="shared" ca="1" si="92"/>
        <v>#N/A</v>
      </c>
      <c r="M126" s="888">
        <f t="shared" si="102"/>
        <v>0.5</v>
      </c>
      <c r="N126" s="248" t="e">
        <f t="shared" ca="1" si="103"/>
        <v>#N/A</v>
      </c>
      <c r="O126" s="248" t="e">
        <f t="shared" ca="1" si="104"/>
        <v>#N/A</v>
      </c>
      <c r="P126" s="248" t="e">
        <f t="shared" ca="1" si="115"/>
        <v>#N/A</v>
      </c>
      <c r="Q126" s="244" t="e">
        <f ca="1">SUM($P$117:P126)+SUM($V$117:V126)</f>
        <v>#N/A</v>
      </c>
      <c r="R126" s="407" t="e">
        <f ca="1">ROUND((O117*$AX$30)+(O118*$AX$29)+(O119*$AX$28)+(O120*$AX$27),0)</f>
        <v>#N/A</v>
      </c>
      <c r="S126" s="248" t="e">
        <f ca="1">SUM($R$117:R126)</f>
        <v>#N/A</v>
      </c>
      <c r="T126" s="407" t="e">
        <f ca="1">ROUND((P117*$AX$30)+(P118*$AX$29)+(P119*$AX$28)+(P120*$AX$27),0)</f>
        <v>#N/A</v>
      </c>
      <c r="U126" s="244" t="e">
        <f ca="1">SUM($T$117:T126)</f>
        <v>#N/A</v>
      </c>
      <c r="V126" t="e">
        <f t="shared" ca="1" si="105"/>
        <v>#N/A</v>
      </c>
      <c r="W126" s="75" t="e">
        <f ca="1">SUM($V$117:V126)</f>
        <v>#N/A</v>
      </c>
      <c r="X126" s="78" t="e">
        <f t="shared" ca="1" si="93"/>
        <v>#N/A</v>
      </c>
      <c r="Y126" t="e">
        <f t="shared" si="94"/>
        <v>#N/A</v>
      </c>
      <c r="Z126" t="e">
        <f t="shared" ca="1" si="95"/>
        <v>#N/A</v>
      </c>
      <c r="AA126" s="75" t="e">
        <f ca="1">SUM($Z$117:Z126)</f>
        <v>#N/A</v>
      </c>
      <c r="AB126" t="e">
        <f t="shared" ca="1" si="96"/>
        <v>#N/A</v>
      </c>
      <c r="AC126" s="78" t="e">
        <f ca="1">SUM($AB$117:AB126)</f>
        <v>#N/A</v>
      </c>
      <c r="AD126" t="e">
        <f t="shared" ca="1" si="97"/>
        <v>#N/A</v>
      </c>
      <c r="AE126" t="e">
        <f t="shared" ca="1" si="98"/>
        <v>#N/A</v>
      </c>
      <c r="AF126" t="e">
        <f t="shared" ca="1" si="99"/>
        <v>#N/A</v>
      </c>
      <c r="AG126" t="e">
        <f t="shared" ca="1" si="116"/>
        <v>#N/A</v>
      </c>
      <c r="AH126" t="e">
        <f t="shared" ca="1" si="106"/>
        <v>#N/A</v>
      </c>
      <c r="AI126" t="e">
        <f t="shared" ca="1" si="107"/>
        <v>#N/A</v>
      </c>
      <c r="AJ126" t="e">
        <f ca="1">SUM($AI$117:AI126)</f>
        <v>#N/A</v>
      </c>
      <c r="AK126" t="e">
        <f t="shared" ca="1" si="114"/>
        <v>#N/A</v>
      </c>
      <c r="AL126" t="e">
        <f ca="1">SUM($AK$117:AK126)</f>
        <v>#N/A</v>
      </c>
      <c r="AM126" s="407" t="e">
        <f ca="1">ROUND((AE117*$AX$30)+(AE118*$AX$29)+(AE119*$AX$28)+(AE120*$AX$27),0)</f>
        <v>#N/A</v>
      </c>
      <c r="AN126" s="248" t="e">
        <f ca="1">SUM($T$117:T126)+SUM($AM$117:AM126)</f>
        <v>#N/A</v>
      </c>
      <c r="AO126" t="e">
        <f t="shared" ca="1" si="117"/>
        <v>#N/A</v>
      </c>
      <c r="AP126" t="e">
        <f ca="1">SUM($AO$117:AO126)</f>
        <v>#N/A</v>
      </c>
      <c r="AQ126" t="e">
        <f t="shared" ca="1" si="108"/>
        <v>#N/A</v>
      </c>
      <c r="AR126" t="e">
        <f t="shared" ca="1" si="100"/>
        <v>#N/A</v>
      </c>
      <c r="AS126" t="e">
        <f t="shared" ca="1" si="109"/>
        <v>#N/A</v>
      </c>
      <c r="AT126" t="e">
        <f t="shared" ca="1" si="110"/>
        <v>#N/A</v>
      </c>
      <c r="AU126" t="e">
        <f t="shared" ca="1" si="111"/>
        <v>#N/A</v>
      </c>
      <c r="AW126" s="75"/>
      <c r="AX126" s="544"/>
    </row>
    <row r="127" spans="2:52" x14ac:dyDescent="0.25">
      <c r="B127" s="105">
        <f t="shared" si="112"/>
        <v>10</v>
      </c>
      <c r="C127">
        <v>11</v>
      </c>
      <c r="D127" s="78" t="e">
        <f ca="1">'PEP Impact Model'!J29</f>
        <v>#N/A</v>
      </c>
      <c r="E127" s="78" t="e">
        <f t="shared" ca="1" si="113"/>
        <v>#N/A</v>
      </c>
      <c r="F127" t="e">
        <f t="shared" ca="1" si="101"/>
        <v>#N/A</v>
      </c>
      <c r="G127" t="e">
        <f ca="1">SUM($F$117:F127)</f>
        <v>#N/A</v>
      </c>
      <c r="H127" t="e">
        <f t="shared" si="89"/>
        <v>#N/A</v>
      </c>
      <c r="I127" t="e">
        <f t="shared" ca="1" si="90"/>
        <v>#N/A</v>
      </c>
      <c r="J127" t="e">
        <f ca="1">SUM($I$117:I127)</f>
        <v>#N/A</v>
      </c>
      <c r="K127" t="e">
        <f t="shared" ca="1" si="91"/>
        <v>#N/A</v>
      </c>
      <c r="L127" t="e">
        <f t="shared" ca="1" si="92"/>
        <v>#N/A</v>
      </c>
      <c r="M127" s="888">
        <f t="shared" si="102"/>
        <v>0.5</v>
      </c>
      <c r="N127" s="248" t="e">
        <f t="shared" ca="1" si="103"/>
        <v>#N/A</v>
      </c>
      <c r="O127" s="248" t="e">
        <f t="shared" ca="1" si="104"/>
        <v>#N/A</v>
      </c>
      <c r="P127" s="248" t="e">
        <f t="shared" ca="1" si="115"/>
        <v>#N/A</v>
      </c>
      <c r="Q127" s="244" t="e">
        <f ca="1">SUM($P$117:P127)+SUM($V$117:V127)</f>
        <v>#N/A</v>
      </c>
      <c r="R127" s="407" t="e">
        <f ca="1">ROUND((O117*$AX$31)+(O118*$AX$30)+(O119*$AX$29)+(O120*$AX$28)+(O121*$AX$27),0)</f>
        <v>#N/A</v>
      </c>
      <c r="S127" s="248" t="e">
        <f ca="1">SUM($R$117:R127)</f>
        <v>#N/A</v>
      </c>
      <c r="T127" s="407" t="e">
        <f ca="1">ROUND((P117*$AX$31)+(P118*$AX$30)+(P119*$AX$29)+(P120*$AX$28)+(P121*$AX$27),0)</f>
        <v>#N/A</v>
      </c>
      <c r="U127" s="244" t="e">
        <f ca="1">SUM($T$117:T127)</f>
        <v>#N/A</v>
      </c>
      <c r="V127" t="e">
        <f t="shared" ca="1" si="105"/>
        <v>#N/A</v>
      </c>
      <c r="W127" s="75" t="e">
        <f ca="1">SUM($V$117:V127)</f>
        <v>#N/A</v>
      </c>
      <c r="X127" s="78" t="e">
        <f t="shared" ca="1" si="93"/>
        <v>#N/A</v>
      </c>
      <c r="Y127" t="e">
        <f t="shared" si="94"/>
        <v>#N/A</v>
      </c>
      <c r="Z127" t="e">
        <f t="shared" ca="1" si="95"/>
        <v>#N/A</v>
      </c>
      <c r="AA127" s="75" t="e">
        <f ca="1">SUM($Z$117:Z127)</f>
        <v>#N/A</v>
      </c>
      <c r="AB127" t="e">
        <f t="shared" ca="1" si="96"/>
        <v>#N/A</v>
      </c>
      <c r="AC127" s="78" t="e">
        <f ca="1">SUM($AB$117:AB127)</f>
        <v>#N/A</v>
      </c>
      <c r="AD127" t="e">
        <f t="shared" ca="1" si="97"/>
        <v>#N/A</v>
      </c>
      <c r="AE127" t="e">
        <f t="shared" ca="1" si="98"/>
        <v>#N/A</v>
      </c>
      <c r="AF127" t="e">
        <f t="shared" ca="1" si="99"/>
        <v>#N/A</v>
      </c>
      <c r="AG127" t="e">
        <f t="shared" ca="1" si="116"/>
        <v>#N/A</v>
      </c>
      <c r="AH127" t="e">
        <f t="shared" ca="1" si="106"/>
        <v>#N/A</v>
      </c>
      <c r="AI127" t="e">
        <f t="shared" ca="1" si="107"/>
        <v>#N/A</v>
      </c>
      <c r="AJ127" t="e">
        <f ca="1">SUM($AI$117:AI127)</f>
        <v>#N/A</v>
      </c>
      <c r="AK127" t="e">
        <f t="shared" ca="1" si="114"/>
        <v>#N/A</v>
      </c>
      <c r="AL127" t="e">
        <f ca="1">SUM($AK$117:AK127)</f>
        <v>#N/A</v>
      </c>
      <c r="AM127" s="407" t="e">
        <f ca="1">ROUND((AE117*$AX$31)+(AE118*$AX$30)+(AE119*$AX$29)+(AE120*$AX$28)+(AE121*$AX$27),0)</f>
        <v>#N/A</v>
      </c>
      <c r="AN127" s="248" t="e">
        <f ca="1">SUM($T$117:T127)+SUM($AM$117:AM127)</f>
        <v>#N/A</v>
      </c>
      <c r="AO127" t="e">
        <f t="shared" ca="1" si="117"/>
        <v>#N/A</v>
      </c>
      <c r="AP127" t="e">
        <f ca="1">SUM($AO$117:AO127)</f>
        <v>#N/A</v>
      </c>
      <c r="AQ127" t="e">
        <f t="shared" ca="1" si="108"/>
        <v>#N/A</v>
      </c>
      <c r="AR127" t="e">
        <f t="shared" ca="1" si="100"/>
        <v>#N/A</v>
      </c>
      <c r="AS127" t="e">
        <f t="shared" ca="1" si="109"/>
        <v>#N/A</v>
      </c>
      <c r="AT127" t="e">
        <f t="shared" ca="1" si="110"/>
        <v>#N/A</v>
      </c>
      <c r="AU127" t="e">
        <f t="shared" ca="1" si="111"/>
        <v>#N/A</v>
      </c>
      <c r="AW127" s="75"/>
      <c r="AX127" s="544"/>
    </row>
    <row r="128" spans="2:52" x14ac:dyDescent="0.25">
      <c r="B128" s="105">
        <f t="shared" si="112"/>
        <v>11</v>
      </c>
      <c r="C128">
        <v>12</v>
      </c>
      <c r="D128" s="78" t="e">
        <f ca="1">'PEP Impact Model'!J30</f>
        <v>#N/A</v>
      </c>
      <c r="E128" s="78" t="e">
        <f t="shared" ca="1" si="113"/>
        <v>#N/A</v>
      </c>
      <c r="F128" t="e">
        <f t="shared" ca="1" si="101"/>
        <v>#N/A</v>
      </c>
      <c r="G128" t="e">
        <f ca="1">SUM($F$117:F128)</f>
        <v>#N/A</v>
      </c>
      <c r="H128" t="e">
        <f t="shared" si="89"/>
        <v>#N/A</v>
      </c>
      <c r="I128" t="e">
        <f t="shared" ca="1" si="90"/>
        <v>#N/A</v>
      </c>
      <c r="J128" t="e">
        <f ca="1">SUM($I$117:I128)</f>
        <v>#N/A</v>
      </c>
      <c r="K128" t="e">
        <f t="shared" ca="1" si="91"/>
        <v>#N/A</v>
      </c>
      <c r="L128" t="e">
        <f t="shared" ca="1" si="92"/>
        <v>#N/A</v>
      </c>
      <c r="M128" s="888">
        <f t="shared" si="102"/>
        <v>0.5</v>
      </c>
      <c r="N128" s="248" t="e">
        <f t="shared" ca="1" si="103"/>
        <v>#N/A</v>
      </c>
      <c r="O128" s="248" t="e">
        <f t="shared" ca="1" si="104"/>
        <v>#N/A</v>
      </c>
      <c r="P128" s="248" t="e">
        <f t="shared" ca="1" si="115"/>
        <v>#N/A</v>
      </c>
      <c r="Q128" s="244" t="e">
        <f ca="1">SUM($P$117:P128)+SUM($V$117:V128)</f>
        <v>#N/A</v>
      </c>
      <c r="R128" s="407" t="e">
        <f ca="1">ROUND((O117*$AX$32)+(O118*$AX$31)+(O119*$AX$30)+(O120*$AX$29)+(O121*$AX$28)+(O122*$AX$27),0)</f>
        <v>#N/A</v>
      </c>
      <c r="S128" s="248" t="e">
        <f ca="1">SUM($R$117:R128)</f>
        <v>#N/A</v>
      </c>
      <c r="T128" s="407" t="e">
        <f ca="1">ROUND((P117*$AX$32)+(P118*$AX$31)+(P119*$AX$30)+(P120*$AX$29)+(P121*$AX$28)+(P122*$AX$27),0)</f>
        <v>#N/A</v>
      </c>
      <c r="U128" s="244" t="e">
        <f ca="1">SUM($T$117:T128)</f>
        <v>#N/A</v>
      </c>
      <c r="V128" t="e">
        <f t="shared" ca="1" si="105"/>
        <v>#N/A</v>
      </c>
      <c r="W128" s="75" t="e">
        <f ca="1">SUM($V$117:V128)</f>
        <v>#N/A</v>
      </c>
      <c r="X128" s="78" t="e">
        <f t="shared" ca="1" si="93"/>
        <v>#N/A</v>
      </c>
      <c r="Y128" t="e">
        <f t="shared" si="94"/>
        <v>#N/A</v>
      </c>
      <c r="Z128" t="e">
        <f t="shared" ca="1" si="95"/>
        <v>#N/A</v>
      </c>
      <c r="AA128" s="75" t="e">
        <f ca="1">SUM($Z$117:Z128)</f>
        <v>#N/A</v>
      </c>
      <c r="AB128" t="e">
        <f t="shared" ca="1" si="96"/>
        <v>#N/A</v>
      </c>
      <c r="AC128" s="78" t="e">
        <f ca="1">SUM($AB$117:AB128)</f>
        <v>#N/A</v>
      </c>
      <c r="AD128" t="e">
        <f t="shared" ca="1" si="97"/>
        <v>#N/A</v>
      </c>
      <c r="AE128" t="e">
        <f t="shared" ca="1" si="98"/>
        <v>#N/A</v>
      </c>
      <c r="AF128" t="e">
        <f t="shared" ca="1" si="99"/>
        <v>#N/A</v>
      </c>
      <c r="AG128" t="e">
        <f t="shared" ca="1" si="116"/>
        <v>#N/A</v>
      </c>
      <c r="AH128" t="e">
        <f t="shared" ca="1" si="106"/>
        <v>#N/A</v>
      </c>
      <c r="AI128" t="e">
        <f t="shared" ca="1" si="107"/>
        <v>#N/A</v>
      </c>
      <c r="AJ128" t="e">
        <f ca="1">SUM($AI$117:AI128)</f>
        <v>#N/A</v>
      </c>
      <c r="AK128" t="e">
        <f t="shared" ca="1" si="114"/>
        <v>#N/A</v>
      </c>
      <c r="AL128" t="e">
        <f ca="1">SUM($AK$117:AK128)</f>
        <v>#N/A</v>
      </c>
      <c r="AM128" s="407" t="e">
        <f ca="1">ROUND((AE117*$AX$32)+(AE118*$AX$31)+(AE119*$AX$30)+(AE120*$AX$29)+(AE121*$AX$28)+(AE122*$AX$27),0)</f>
        <v>#N/A</v>
      </c>
      <c r="AN128" s="248" t="e">
        <f ca="1">SUM($T$117:T128)+SUM($AM$117:AM128)</f>
        <v>#N/A</v>
      </c>
      <c r="AO128" t="e">
        <f t="shared" ca="1" si="117"/>
        <v>#N/A</v>
      </c>
      <c r="AP128" t="e">
        <f ca="1">SUM($AO$117:AO128)</f>
        <v>#N/A</v>
      </c>
      <c r="AQ128" t="e">
        <f t="shared" ca="1" si="108"/>
        <v>#N/A</v>
      </c>
      <c r="AR128" t="e">
        <f t="shared" ca="1" si="100"/>
        <v>#N/A</v>
      </c>
      <c r="AS128" t="e">
        <f t="shared" ca="1" si="109"/>
        <v>#N/A</v>
      </c>
      <c r="AT128" t="e">
        <f t="shared" ca="1" si="110"/>
        <v>#N/A</v>
      </c>
      <c r="AU128" t="e">
        <f t="shared" ca="1" si="111"/>
        <v>#N/A</v>
      </c>
      <c r="AW128" s="75"/>
      <c r="AX128" s="544"/>
    </row>
    <row r="129" spans="2:50" x14ac:dyDescent="0.25">
      <c r="B129" s="105">
        <f t="shared" si="112"/>
        <v>12</v>
      </c>
      <c r="C129">
        <v>13</v>
      </c>
      <c r="D129" s="78" t="e">
        <f ca="1">'PEP Impact Model'!J31</f>
        <v>#N/A</v>
      </c>
      <c r="E129" s="78" t="e">
        <f t="shared" ca="1" si="113"/>
        <v>#N/A</v>
      </c>
      <c r="F129" t="e">
        <f t="shared" ca="1" si="101"/>
        <v>#N/A</v>
      </c>
      <c r="G129" t="e">
        <f ca="1">SUM($F$117:F129)</f>
        <v>#N/A</v>
      </c>
      <c r="H129" t="e">
        <f t="shared" si="89"/>
        <v>#N/A</v>
      </c>
      <c r="I129" t="e">
        <f t="shared" ca="1" si="90"/>
        <v>#N/A</v>
      </c>
      <c r="J129" t="e">
        <f ca="1">SUM($I$117:I129)</f>
        <v>#N/A</v>
      </c>
      <c r="K129" t="e">
        <f t="shared" ca="1" si="91"/>
        <v>#N/A</v>
      </c>
      <c r="L129" t="e">
        <f t="shared" ca="1" si="92"/>
        <v>#N/A</v>
      </c>
      <c r="M129" s="888">
        <f t="shared" si="102"/>
        <v>0.5</v>
      </c>
      <c r="N129" s="248" t="e">
        <f t="shared" ca="1" si="103"/>
        <v>#N/A</v>
      </c>
      <c r="O129" s="248" t="e">
        <f t="shared" ca="1" si="104"/>
        <v>#N/A</v>
      </c>
      <c r="P129" s="248" t="e">
        <f t="shared" ca="1" si="115"/>
        <v>#N/A</v>
      </c>
      <c r="Q129" s="244" t="e">
        <f ca="1">SUM($P$117:P129)+SUM($V$117:V129)</f>
        <v>#N/A</v>
      </c>
      <c r="R129" s="407" t="e">
        <f ca="1">ROUND((O117*$AX$33)+(O118*$AX$32)+(O119*$AX$31)+(O120*$AX$30)+(O121*$AX$29)+(O122*$AX$28)+(O123*$AX$27),0)</f>
        <v>#N/A</v>
      </c>
      <c r="S129" s="248" t="e">
        <f ca="1">SUM($R$117:R129)</f>
        <v>#N/A</v>
      </c>
      <c r="T129" s="407" t="e">
        <f ca="1">ROUND((P117*$AX$33)+(P118*$AX$32)+(P119*$AX$31)+(P120*$AX$30)+(P121*$AX$29)+(P122*$AX$28)+(P123*$AX$27),0)</f>
        <v>#N/A</v>
      </c>
      <c r="U129" s="244" t="e">
        <f ca="1">SUM($T$117:T129)</f>
        <v>#N/A</v>
      </c>
      <c r="V129" t="e">
        <f t="shared" ca="1" si="105"/>
        <v>#N/A</v>
      </c>
      <c r="W129" s="75" t="e">
        <f ca="1">SUM($V$117:V129)</f>
        <v>#N/A</v>
      </c>
      <c r="X129" s="78" t="e">
        <f t="shared" ca="1" si="93"/>
        <v>#N/A</v>
      </c>
      <c r="Y129" t="e">
        <f t="shared" si="94"/>
        <v>#N/A</v>
      </c>
      <c r="Z129" t="e">
        <f t="shared" ca="1" si="95"/>
        <v>#N/A</v>
      </c>
      <c r="AA129" s="75" t="e">
        <f ca="1">SUM($Z$117:Z129)</f>
        <v>#N/A</v>
      </c>
      <c r="AB129" t="e">
        <f t="shared" ca="1" si="96"/>
        <v>#N/A</v>
      </c>
      <c r="AC129" s="78" t="e">
        <f ca="1">SUM($AB$117:AB129)</f>
        <v>#N/A</v>
      </c>
      <c r="AD129" t="e">
        <f t="shared" ca="1" si="97"/>
        <v>#N/A</v>
      </c>
      <c r="AE129" t="e">
        <f t="shared" ca="1" si="98"/>
        <v>#N/A</v>
      </c>
      <c r="AF129" t="e">
        <f t="shared" ca="1" si="99"/>
        <v>#N/A</v>
      </c>
      <c r="AG129" t="e">
        <f t="shared" ca="1" si="116"/>
        <v>#N/A</v>
      </c>
      <c r="AH129" t="e">
        <f t="shared" ca="1" si="106"/>
        <v>#N/A</v>
      </c>
      <c r="AI129" t="e">
        <f t="shared" ca="1" si="107"/>
        <v>#N/A</v>
      </c>
      <c r="AJ129" t="e">
        <f ca="1">SUM($AI$117:AI129)</f>
        <v>#N/A</v>
      </c>
      <c r="AK129" t="e">
        <f t="shared" ca="1" si="114"/>
        <v>#N/A</v>
      </c>
      <c r="AL129" t="e">
        <f ca="1">SUM($AK$117:AK129)</f>
        <v>#N/A</v>
      </c>
      <c r="AM129" s="407" t="e">
        <f ca="1">ROUND((AE117*$AX$33)+(AE118*$AX$32)+(AE119*$AX$31)+(AE120*$AX$30)+(AE121*$AX$29)+(AE122*$AX$28)+(AE123*$AX$27),0)</f>
        <v>#N/A</v>
      </c>
      <c r="AN129" s="248" t="e">
        <f ca="1">SUM($T$117:T129)+SUM($AM$117:AM129)</f>
        <v>#N/A</v>
      </c>
      <c r="AO129" t="e">
        <f t="shared" ca="1" si="117"/>
        <v>#N/A</v>
      </c>
      <c r="AP129" t="e">
        <f ca="1">SUM($AO$117:AO129)</f>
        <v>#N/A</v>
      </c>
      <c r="AQ129" t="e">
        <f t="shared" ca="1" si="108"/>
        <v>#N/A</v>
      </c>
      <c r="AR129" t="e">
        <f t="shared" ca="1" si="100"/>
        <v>#N/A</v>
      </c>
      <c r="AS129" t="e">
        <f t="shared" ca="1" si="109"/>
        <v>#N/A</v>
      </c>
      <c r="AT129" t="e">
        <f t="shared" ca="1" si="110"/>
        <v>#N/A</v>
      </c>
      <c r="AU129" t="e">
        <f t="shared" ca="1" si="111"/>
        <v>#N/A</v>
      </c>
      <c r="AW129" s="75"/>
      <c r="AX129" s="544"/>
    </row>
    <row r="130" spans="2:50" x14ac:dyDescent="0.25">
      <c r="B130" s="105">
        <f t="shared" si="112"/>
        <v>13</v>
      </c>
      <c r="C130">
        <v>14</v>
      </c>
      <c r="D130" s="78" t="e">
        <f ca="1">'PEP Impact Model'!J32</f>
        <v>#N/A</v>
      </c>
      <c r="E130" s="78" t="e">
        <f t="shared" ca="1" si="113"/>
        <v>#N/A</v>
      </c>
      <c r="F130" t="e">
        <f t="shared" ca="1" si="101"/>
        <v>#N/A</v>
      </c>
      <c r="G130" t="e">
        <f ca="1">SUM($F$117:F130)</f>
        <v>#N/A</v>
      </c>
      <c r="H130" t="e">
        <f t="shared" si="89"/>
        <v>#N/A</v>
      </c>
      <c r="I130" t="e">
        <f t="shared" ca="1" si="90"/>
        <v>#N/A</v>
      </c>
      <c r="J130" t="e">
        <f ca="1">SUM($I$117:I130)</f>
        <v>#N/A</v>
      </c>
      <c r="K130" t="e">
        <f t="shared" ca="1" si="91"/>
        <v>#N/A</v>
      </c>
      <c r="L130" t="e">
        <f t="shared" ca="1" si="92"/>
        <v>#N/A</v>
      </c>
      <c r="M130" s="888">
        <f t="shared" si="102"/>
        <v>0.5</v>
      </c>
      <c r="N130" s="248" t="e">
        <f t="shared" ca="1" si="103"/>
        <v>#N/A</v>
      </c>
      <c r="O130" s="248" t="e">
        <f t="shared" ca="1" si="104"/>
        <v>#N/A</v>
      </c>
      <c r="P130" s="248" t="e">
        <f t="shared" ca="1" si="115"/>
        <v>#N/A</v>
      </c>
      <c r="Q130" s="244" t="e">
        <f ca="1">SUM($P$117:P130)+SUM($V$117:V130)</f>
        <v>#N/A</v>
      </c>
      <c r="R130" s="407" t="e">
        <f ca="1">ROUND((O117*$AX$34)+(O118*$AX$33)+(O119*$AX$32)+(O120*$AX$31)+(O121*$AX$30)+(O122*$AX$29)+(O123*$AX$28)+(O124*$AX$27),0)</f>
        <v>#N/A</v>
      </c>
      <c r="S130" s="248" t="e">
        <f ca="1">SUM($R$117:R130)</f>
        <v>#N/A</v>
      </c>
      <c r="T130" s="407" t="e">
        <f ca="1">ROUND((P117*$AX$34)+(P118*$AX$33)+(P119*$AX$32)+(P120*$AX$31)+(P121*$AX$30)+(P122*$AX$29)+(P123*$AX$28)+(P124*$AX$27),0)</f>
        <v>#N/A</v>
      </c>
      <c r="U130" s="244" t="e">
        <f ca="1">SUM($T$117:T130)</f>
        <v>#N/A</v>
      </c>
      <c r="V130" t="e">
        <f t="shared" ca="1" si="105"/>
        <v>#N/A</v>
      </c>
      <c r="W130" s="75" t="e">
        <f ca="1">SUM($V$117:V130)</f>
        <v>#N/A</v>
      </c>
      <c r="X130" s="78" t="e">
        <f t="shared" ca="1" si="93"/>
        <v>#N/A</v>
      </c>
      <c r="Y130" t="e">
        <f t="shared" si="94"/>
        <v>#N/A</v>
      </c>
      <c r="Z130" t="e">
        <f t="shared" ca="1" si="95"/>
        <v>#N/A</v>
      </c>
      <c r="AA130" s="75" t="e">
        <f ca="1">SUM($Z$117:Z130)</f>
        <v>#N/A</v>
      </c>
      <c r="AB130" t="e">
        <f t="shared" ca="1" si="96"/>
        <v>#N/A</v>
      </c>
      <c r="AC130" s="78" t="e">
        <f ca="1">SUM($AB$117:AB130)</f>
        <v>#N/A</v>
      </c>
      <c r="AD130" t="e">
        <f t="shared" ca="1" si="97"/>
        <v>#N/A</v>
      </c>
      <c r="AE130" t="e">
        <f t="shared" ca="1" si="98"/>
        <v>#N/A</v>
      </c>
      <c r="AF130" t="e">
        <f t="shared" ca="1" si="99"/>
        <v>#N/A</v>
      </c>
      <c r="AG130" t="e">
        <f t="shared" ca="1" si="116"/>
        <v>#N/A</v>
      </c>
      <c r="AH130" t="e">
        <f t="shared" ca="1" si="106"/>
        <v>#N/A</v>
      </c>
      <c r="AI130" t="e">
        <f t="shared" ca="1" si="107"/>
        <v>#N/A</v>
      </c>
      <c r="AJ130" t="e">
        <f ca="1">SUM($AI$117:AI130)</f>
        <v>#N/A</v>
      </c>
      <c r="AK130" t="e">
        <f t="shared" ca="1" si="114"/>
        <v>#N/A</v>
      </c>
      <c r="AL130" t="e">
        <f ca="1">SUM($AK$117:AK130)</f>
        <v>#N/A</v>
      </c>
      <c r="AM130" s="407" t="e">
        <f ca="1">ROUND((AE117*$AX$34)+(AE118*$AX$33)+(AE119*$AX$32)+(AE120*$AX$31)+(AE121*$AX$30)+(AE122*$AX$29)+(AE123*$AX$28)+(AE124*$AX$27),0)</f>
        <v>#N/A</v>
      </c>
      <c r="AN130" s="248" t="e">
        <f ca="1">SUM($T$117:T130)+SUM($AM$117:AM130)</f>
        <v>#N/A</v>
      </c>
      <c r="AO130" t="e">
        <f t="shared" ca="1" si="117"/>
        <v>#N/A</v>
      </c>
      <c r="AP130" t="e">
        <f ca="1">SUM($AO$117:AO130)</f>
        <v>#N/A</v>
      </c>
      <c r="AQ130" t="e">
        <f t="shared" ca="1" si="108"/>
        <v>#N/A</v>
      </c>
      <c r="AR130" t="e">
        <f t="shared" ca="1" si="100"/>
        <v>#N/A</v>
      </c>
      <c r="AS130" t="e">
        <f t="shared" ca="1" si="109"/>
        <v>#N/A</v>
      </c>
      <c r="AT130" t="e">
        <f t="shared" ca="1" si="110"/>
        <v>#N/A</v>
      </c>
      <c r="AU130" t="e">
        <f t="shared" ca="1" si="111"/>
        <v>#N/A</v>
      </c>
      <c r="AW130" s="75"/>
      <c r="AX130" s="544"/>
    </row>
    <row r="131" spans="2:50" x14ac:dyDescent="0.25">
      <c r="B131" s="105">
        <f t="shared" si="112"/>
        <v>14</v>
      </c>
      <c r="C131">
        <v>15</v>
      </c>
      <c r="D131" s="78" t="e">
        <f ca="1">'PEP Impact Model'!J33</f>
        <v>#N/A</v>
      </c>
      <c r="E131" s="78" t="e">
        <f t="shared" ca="1" si="113"/>
        <v>#N/A</v>
      </c>
      <c r="F131" t="e">
        <f t="shared" ca="1" si="101"/>
        <v>#N/A</v>
      </c>
      <c r="G131" t="e">
        <f ca="1">SUM($F$117:F131)</f>
        <v>#N/A</v>
      </c>
      <c r="H131" t="e">
        <f t="shared" si="89"/>
        <v>#N/A</v>
      </c>
      <c r="I131" t="e">
        <f t="shared" ca="1" si="90"/>
        <v>#N/A</v>
      </c>
      <c r="J131" t="e">
        <f ca="1">SUM($I$117:I131)</f>
        <v>#N/A</v>
      </c>
      <c r="K131" t="e">
        <f t="shared" ca="1" si="91"/>
        <v>#N/A</v>
      </c>
      <c r="L131" t="e">
        <f t="shared" ca="1" si="92"/>
        <v>#N/A</v>
      </c>
      <c r="M131" s="888">
        <f t="shared" si="102"/>
        <v>0.5</v>
      </c>
      <c r="N131" s="248" t="e">
        <f t="shared" ca="1" si="103"/>
        <v>#N/A</v>
      </c>
      <c r="O131" s="248" t="e">
        <f t="shared" ca="1" si="104"/>
        <v>#N/A</v>
      </c>
      <c r="P131" s="248" t="e">
        <f t="shared" ca="1" si="115"/>
        <v>#N/A</v>
      </c>
      <c r="Q131" s="244" t="e">
        <f ca="1">SUM($P$117:P131)+SUM($V$117:V131)</f>
        <v>#N/A</v>
      </c>
      <c r="R131" s="407" t="e">
        <f ca="1">ROUND((O117*$AX$35)+(O118*$AX$34)+(O119*$AX$33)+(O120*$AX$32)+(O121*$AX$31)+(O122*$AX$30)+(O123*$AX$29)+(O124*$AX$28)+(O125*$AX$27),0)</f>
        <v>#N/A</v>
      </c>
      <c r="S131" s="248" t="e">
        <f ca="1">SUM($R$117:R131)</f>
        <v>#N/A</v>
      </c>
      <c r="T131" s="407" t="e">
        <f ca="1">ROUND((P117*$AX$35)+(P118*$AX$34)+(P119*$AX$33)+(P120*$AX$32)+(P121*$AX$31)+(P122*$AX$30)+(P123*$AX$29)+(P124*$AX$28)+(P125*$AX$27),0)</f>
        <v>#N/A</v>
      </c>
      <c r="U131" s="244" t="e">
        <f ca="1">SUM($T$117:T131)</f>
        <v>#N/A</v>
      </c>
      <c r="V131" t="e">
        <f t="shared" ca="1" si="105"/>
        <v>#N/A</v>
      </c>
      <c r="W131" s="75" t="e">
        <f ca="1">SUM($V$117:V131)</f>
        <v>#N/A</v>
      </c>
      <c r="X131" s="78" t="e">
        <f t="shared" ca="1" si="93"/>
        <v>#N/A</v>
      </c>
      <c r="Y131" t="e">
        <f t="shared" si="94"/>
        <v>#N/A</v>
      </c>
      <c r="Z131" t="e">
        <f t="shared" ca="1" si="95"/>
        <v>#N/A</v>
      </c>
      <c r="AA131" s="75" t="e">
        <f ca="1">SUM($Z$117:Z131)</f>
        <v>#N/A</v>
      </c>
      <c r="AB131" t="e">
        <f t="shared" ca="1" si="96"/>
        <v>#N/A</v>
      </c>
      <c r="AC131" s="78" t="e">
        <f ca="1">SUM($AB$117:AB131)</f>
        <v>#N/A</v>
      </c>
      <c r="AD131" t="e">
        <f t="shared" ca="1" si="97"/>
        <v>#N/A</v>
      </c>
      <c r="AE131" t="e">
        <f t="shared" ca="1" si="98"/>
        <v>#N/A</v>
      </c>
      <c r="AF131" t="e">
        <f t="shared" ca="1" si="99"/>
        <v>#N/A</v>
      </c>
      <c r="AG131" t="e">
        <f t="shared" ca="1" si="116"/>
        <v>#N/A</v>
      </c>
      <c r="AH131" t="e">
        <f t="shared" ca="1" si="106"/>
        <v>#N/A</v>
      </c>
      <c r="AI131" t="e">
        <f t="shared" ca="1" si="107"/>
        <v>#N/A</v>
      </c>
      <c r="AJ131" t="e">
        <f ca="1">SUM($AI$117:AI131)</f>
        <v>#N/A</v>
      </c>
      <c r="AK131" t="e">
        <f t="shared" ca="1" si="114"/>
        <v>#N/A</v>
      </c>
      <c r="AL131" t="e">
        <f ca="1">SUM($AK$117:AK131)</f>
        <v>#N/A</v>
      </c>
      <c r="AM131" s="407" t="e">
        <f ca="1">ROUND((AE117*$AX$35)+(AE118*$AX$34)+(AE119*$AX$33)+(AE120*$AX$32)+(AE121*$AX$31)+(AE122*$AX$30)+(AE123*$AX$29)+(AE124*$AX$28)+(AE125*$AX$27),0)</f>
        <v>#N/A</v>
      </c>
      <c r="AN131" s="248" t="e">
        <f ca="1">SUM($T$117:T131)+SUM($AM$117:AM131)</f>
        <v>#N/A</v>
      </c>
      <c r="AO131" t="e">
        <f t="shared" ca="1" si="117"/>
        <v>#N/A</v>
      </c>
      <c r="AP131" t="e">
        <f ca="1">SUM($AO$117:AO131)</f>
        <v>#N/A</v>
      </c>
      <c r="AQ131" t="e">
        <f t="shared" ca="1" si="108"/>
        <v>#N/A</v>
      </c>
      <c r="AR131" t="e">
        <f t="shared" ca="1" si="100"/>
        <v>#N/A</v>
      </c>
      <c r="AS131" t="e">
        <f t="shared" ca="1" si="109"/>
        <v>#N/A</v>
      </c>
      <c r="AT131" t="e">
        <f t="shared" ca="1" si="110"/>
        <v>#N/A</v>
      </c>
      <c r="AU131" t="e">
        <f t="shared" ca="1" si="111"/>
        <v>#N/A</v>
      </c>
      <c r="AW131" s="75"/>
      <c r="AX131" s="544"/>
    </row>
    <row r="132" spans="2:50" x14ac:dyDescent="0.25">
      <c r="B132" s="105">
        <f t="shared" si="112"/>
        <v>15</v>
      </c>
      <c r="C132">
        <v>16</v>
      </c>
      <c r="D132" s="78" t="e">
        <f ca="1">'PEP Impact Model'!J34</f>
        <v>#N/A</v>
      </c>
      <c r="E132" s="78" t="e">
        <f t="shared" ca="1" si="113"/>
        <v>#N/A</v>
      </c>
      <c r="F132" t="e">
        <f t="shared" ca="1" si="101"/>
        <v>#N/A</v>
      </c>
      <c r="G132" t="e">
        <f ca="1">SUM($F$117:F132)</f>
        <v>#N/A</v>
      </c>
      <c r="H132" t="e">
        <f t="shared" si="89"/>
        <v>#N/A</v>
      </c>
      <c r="I132" t="e">
        <f t="shared" ca="1" si="90"/>
        <v>#N/A</v>
      </c>
      <c r="J132" t="e">
        <f ca="1">SUM($I$117:I132)</f>
        <v>#N/A</v>
      </c>
      <c r="K132" t="e">
        <f t="shared" ca="1" si="91"/>
        <v>#N/A</v>
      </c>
      <c r="L132" t="e">
        <f t="shared" ca="1" si="92"/>
        <v>#N/A</v>
      </c>
      <c r="M132" s="888">
        <f t="shared" si="102"/>
        <v>0.5</v>
      </c>
      <c r="N132" s="248" t="e">
        <f t="shared" ca="1" si="103"/>
        <v>#N/A</v>
      </c>
      <c r="O132" s="248" t="e">
        <f t="shared" ca="1" si="104"/>
        <v>#N/A</v>
      </c>
      <c r="P132" s="248" t="e">
        <f t="shared" ca="1" si="115"/>
        <v>#N/A</v>
      </c>
      <c r="Q132" s="244" t="e">
        <f ca="1">SUM($P$117:P132)+SUM($V$117:V132)</f>
        <v>#N/A</v>
      </c>
      <c r="R132" s="407" t="e">
        <f ca="1">ROUND((O117*$AX$36)+(O118*$AX$35)+(O119*$AX$34)+(O120*$AX$33)+(O121*$AX$32)+(O122*$AX$31)+(O123*$AX$30)+(O124*$AX$29)+(O125*$AX$28)+(O126*$AX$27),0)</f>
        <v>#N/A</v>
      </c>
      <c r="S132" s="248" t="e">
        <f ca="1">SUM($R$117:R132)</f>
        <v>#N/A</v>
      </c>
      <c r="T132" s="407" t="e">
        <f ca="1">ROUND((P117*$AX$36)+(P118*$AX$35)+(P119*$AX$34)+(P120*$AX$33)+(P121*$AX$32)+(P122*$AX$31)+(P123*$AX$30)+(P124*$AX$29)+(P125*$AX$28)+(P126*$AX$27),0)</f>
        <v>#N/A</v>
      </c>
      <c r="U132" s="244" t="e">
        <f ca="1">SUM($T$117:T132)</f>
        <v>#N/A</v>
      </c>
      <c r="V132" t="e">
        <f t="shared" ca="1" si="105"/>
        <v>#N/A</v>
      </c>
      <c r="W132" s="75" t="e">
        <f ca="1">SUM($V$117:V132)</f>
        <v>#N/A</v>
      </c>
      <c r="X132" s="78" t="e">
        <f t="shared" ca="1" si="93"/>
        <v>#N/A</v>
      </c>
      <c r="Y132" t="e">
        <f t="shared" si="94"/>
        <v>#N/A</v>
      </c>
      <c r="Z132" t="e">
        <f t="shared" ca="1" si="95"/>
        <v>#N/A</v>
      </c>
      <c r="AA132" s="75" t="e">
        <f ca="1">SUM($Z$117:Z132)</f>
        <v>#N/A</v>
      </c>
      <c r="AB132" t="e">
        <f t="shared" ca="1" si="96"/>
        <v>#N/A</v>
      </c>
      <c r="AC132" s="78" t="e">
        <f ca="1">SUM($AB$117:AB132)</f>
        <v>#N/A</v>
      </c>
      <c r="AD132" t="e">
        <f t="shared" ca="1" si="97"/>
        <v>#N/A</v>
      </c>
      <c r="AE132" t="e">
        <f t="shared" ca="1" si="98"/>
        <v>#N/A</v>
      </c>
      <c r="AF132" t="e">
        <f t="shared" ca="1" si="99"/>
        <v>#N/A</v>
      </c>
      <c r="AG132" t="e">
        <f t="shared" ca="1" si="116"/>
        <v>#N/A</v>
      </c>
      <c r="AH132" t="e">
        <f t="shared" ca="1" si="106"/>
        <v>#N/A</v>
      </c>
      <c r="AI132" t="e">
        <f t="shared" ca="1" si="107"/>
        <v>#N/A</v>
      </c>
      <c r="AJ132" t="e">
        <f ca="1">SUM($AI$117:AI132)</f>
        <v>#N/A</v>
      </c>
      <c r="AK132" t="e">
        <f t="shared" ca="1" si="114"/>
        <v>#N/A</v>
      </c>
      <c r="AL132" t="e">
        <f ca="1">SUM($AK$117:AK132)</f>
        <v>#N/A</v>
      </c>
      <c r="AM132" s="407" t="e">
        <f ca="1">ROUND((AE117*$AX$36)+(AE118*$AX$35)+(AE119*$AX$34)+(AE120*$AX$33)+(AE121*$AX$32)+(AE122*$AX$31)+(AE123*$AX$30)+(AE124*$AX$29)+(AE125*$AX$28)+(AE126*$AX$27),0)</f>
        <v>#N/A</v>
      </c>
      <c r="AN132" s="248" t="e">
        <f ca="1">SUM($T$117:T132)+SUM($AM$117:AM132)</f>
        <v>#N/A</v>
      </c>
      <c r="AO132" t="e">
        <f t="shared" ca="1" si="117"/>
        <v>#N/A</v>
      </c>
      <c r="AP132" t="e">
        <f ca="1">SUM($AO$117:AO132)</f>
        <v>#N/A</v>
      </c>
      <c r="AQ132" t="e">
        <f t="shared" ca="1" si="108"/>
        <v>#N/A</v>
      </c>
      <c r="AR132" t="e">
        <f t="shared" ca="1" si="100"/>
        <v>#N/A</v>
      </c>
      <c r="AS132" t="e">
        <f t="shared" ca="1" si="109"/>
        <v>#N/A</v>
      </c>
      <c r="AT132" t="e">
        <f t="shared" ca="1" si="110"/>
        <v>#N/A</v>
      </c>
      <c r="AU132" t="e">
        <f t="shared" ca="1" si="111"/>
        <v>#N/A</v>
      </c>
      <c r="AW132" s="75"/>
      <c r="AX132" s="544"/>
    </row>
    <row r="133" spans="2:50" x14ac:dyDescent="0.25">
      <c r="B133" s="105">
        <f t="shared" si="112"/>
        <v>16</v>
      </c>
      <c r="C133">
        <v>17</v>
      </c>
      <c r="D133" s="78" t="e">
        <f ca="1">'PEP Impact Model'!J35</f>
        <v>#N/A</v>
      </c>
      <c r="E133" s="78" t="e">
        <f t="shared" ca="1" si="113"/>
        <v>#N/A</v>
      </c>
      <c r="F133" t="e">
        <f t="shared" ca="1" si="101"/>
        <v>#N/A</v>
      </c>
      <c r="G133" t="e">
        <f ca="1">SUM($F$117:F133)</f>
        <v>#N/A</v>
      </c>
      <c r="H133" t="e">
        <f t="shared" si="89"/>
        <v>#N/A</v>
      </c>
      <c r="I133" t="e">
        <f t="shared" ca="1" si="90"/>
        <v>#N/A</v>
      </c>
      <c r="J133" t="e">
        <f ca="1">SUM($I$117:I133)</f>
        <v>#N/A</v>
      </c>
      <c r="K133" t="e">
        <f t="shared" ca="1" si="91"/>
        <v>#N/A</v>
      </c>
      <c r="L133" t="e">
        <f t="shared" ca="1" si="92"/>
        <v>#N/A</v>
      </c>
      <c r="M133" s="888">
        <f t="shared" si="102"/>
        <v>0.5</v>
      </c>
      <c r="N133" s="248" t="e">
        <f t="shared" ca="1" si="103"/>
        <v>#N/A</v>
      </c>
      <c r="O133" s="248" t="e">
        <f t="shared" ca="1" si="104"/>
        <v>#N/A</v>
      </c>
      <c r="P133" s="248" t="e">
        <f t="shared" ca="1" si="115"/>
        <v>#N/A</v>
      </c>
      <c r="Q133" s="244" t="e">
        <f ca="1">SUM($P$117:P133)+SUM($V$117:V133)</f>
        <v>#N/A</v>
      </c>
      <c r="R133" s="407" t="e">
        <f ca="1">ROUND((O117*$AX$37)+(O118*$AX$36)+(O119*$AX$35)+(O120*$AX$34)+(O121*$AX$33)+(O122*$AX$32)+(O123*$AX$31)+(O124*$AX$30)+(O125*$AX$29)+(O126*$AX$28)+(O127*$AX$27),0)</f>
        <v>#N/A</v>
      </c>
      <c r="S133" s="248" t="e">
        <f ca="1">SUM($R$117:R133)</f>
        <v>#N/A</v>
      </c>
      <c r="T133" s="407" t="e">
        <f ca="1">ROUND((P117*$AX$37)+(P118*$AX$36)+(P119*$AX$35)+(P120*$AX$34)+(P121*$AX$33)+(P122*$AX$32)+(P123*$AX$31)+(P124*$AX$30)+(P125*$AX$29)+(P126*$AX$28)+(P127*$AX$27),0)</f>
        <v>#N/A</v>
      </c>
      <c r="U133" s="244" t="e">
        <f ca="1">SUM($T$117:T133)</f>
        <v>#N/A</v>
      </c>
      <c r="V133" t="e">
        <f t="shared" ca="1" si="105"/>
        <v>#N/A</v>
      </c>
      <c r="W133" s="75" t="e">
        <f ca="1">SUM($V$117:V133)</f>
        <v>#N/A</v>
      </c>
      <c r="X133" s="78" t="e">
        <f t="shared" ca="1" si="93"/>
        <v>#N/A</v>
      </c>
      <c r="Y133" t="e">
        <f t="shared" si="94"/>
        <v>#N/A</v>
      </c>
      <c r="Z133" t="e">
        <f t="shared" ca="1" si="95"/>
        <v>#N/A</v>
      </c>
      <c r="AA133" s="75" t="e">
        <f ca="1">SUM($Z$117:Z133)</f>
        <v>#N/A</v>
      </c>
      <c r="AB133" t="e">
        <f t="shared" ca="1" si="96"/>
        <v>#N/A</v>
      </c>
      <c r="AC133" s="78" t="e">
        <f ca="1">SUM($AB$117:AB133)</f>
        <v>#N/A</v>
      </c>
      <c r="AD133" t="e">
        <f t="shared" ca="1" si="97"/>
        <v>#N/A</v>
      </c>
      <c r="AE133" t="e">
        <f t="shared" ca="1" si="98"/>
        <v>#N/A</v>
      </c>
      <c r="AF133" t="e">
        <f t="shared" ca="1" si="99"/>
        <v>#N/A</v>
      </c>
      <c r="AG133" t="e">
        <f t="shared" ca="1" si="116"/>
        <v>#N/A</v>
      </c>
      <c r="AH133" t="e">
        <f t="shared" ca="1" si="106"/>
        <v>#N/A</v>
      </c>
      <c r="AI133" t="e">
        <f t="shared" ca="1" si="107"/>
        <v>#N/A</v>
      </c>
      <c r="AJ133" t="e">
        <f ca="1">SUM($AI$117:AI133)</f>
        <v>#N/A</v>
      </c>
      <c r="AK133" t="e">
        <f t="shared" ca="1" si="114"/>
        <v>#N/A</v>
      </c>
      <c r="AL133" t="e">
        <f ca="1">SUM($AK$117:AK133)</f>
        <v>#N/A</v>
      </c>
      <c r="AM133" s="407" t="e">
        <f ca="1">ROUND((AE117*$AX$37)+(AE118*$AX$36)+(AE119*$AX$35)+(AE120*$AX$34)+(AE121*$AX$33)+(AE122*$AX$32)+(AE123*$AX$31)+(AE124*$AX$30)+(AE125*$AX$29)+(AE126*$AX$28)+(AE127*$AX$27),0)</f>
        <v>#N/A</v>
      </c>
      <c r="AN133" s="248" t="e">
        <f ca="1">SUM($T$117:T133)+SUM($AM$117:AM133)</f>
        <v>#N/A</v>
      </c>
      <c r="AO133" t="e">
        <f t="shared" ca="1" si="117"/>
        <v>#N/A</v>
      </c>
      <c r="AP133" t="e">
        <f ca="1">SUM($AO$117:AO133)</f>
        <v>#N/A</v>
      </c>
      <c r="AQ133" t="e">
        <f t="shared" ca="1" si="108"/>
        <v>#N/A</v>
      </c>
      <c r="AR133" t="e">
        <f t="shared" ca="1" si="100"/>
        <v>#N/A</v>
      </c>
      <c r="AS133" t="e">
        <f t="shared" ca="1" si="109"/>
        <v>#N/A</v>
      </c>
      <c r="AT133" t="e">
        <f t="shared" ca="1" si="110"/>
        <v>#N/A</v>
      </c>
      <c r="AU133" t="e">
        <f t="shared" ca="1" si="111"/>
        <v>#N/A</v>
      </c>
      <c r="AW133" s="75"/>
      <c r="AX133" s="544"/>
    </row>
    <row r="134" spans="2:50" x14ac:dyDescent="0.25">
      <c r="B134" s="105">
        <f t="shared" si="112"/>
        <v>17</v>
      </c>
      <c r="C134">
        <v>18</v>
      </c>
      <c r="D134" s="78" t="e">
        <f ca="1">'PEP Impact Model'!J36</f>
        <v>#N/A</v>
      </c>
      <c r="E134" s="78" t="e">
        <f t="shared" ca="1" si="113"/>
        <v>#N/A</v>
      </c>
      <c r="F134" t="e">
        <f t="shared" ca="1" si="101"/>
        <v>#N/A</v>
      </c>
      <c r="G134" t="e">
        <f ca="1">SUM($F$117:F134)</f>
        <v>#N/A</v>
      </c>
      <c r="H134" t="e">
        <f t="shared" si="89"/>
        <v>#N/A</v>
      </c>
      <c r="I134" t="e">
        <f t="shared" ca="1" si="90"/>
        <v>#N/A</v>
      </c>
      <c r="J134" t="e">
        <f ca="1">SUM($I$117:I134)</f>
        <v>#N/A</v>
      </c>
      <c r="K134" t="e">
        <f t="shared" ca="1" si="91"/>
        <v>#N/A</v>
      </c>
      <c r="L134" t="e">
        <f t="shared" ca="1" si="92"/>
        <v>#N/A</v>
      </c>
      <c r="M134" s="888">
        <f t="shared" si="102"/>
        <v>0.5</v>
      </c>
      <c r="N134" s="248" t="e">
        <f t="shared" ca="1" si="103"/>
        <v>#N/A</v>
      </c>
      <c r="O134" s="248" t="e">
        <f t="shared" ca="1" si="104"/>
        <v>#N/A</v>
      </c>
      <c r="P134" s="248" t="e">
        <f t="shared" ca="1" si="115"/>
        <v>#N/A</v>
      </c>
      <c r="Q134" s="244" t="e">
        <f ca="1">SUM($P$117:P134)+SUM($V$117:V134)</f>
        <v>#N/A</v>
      </c>
      <c r="R134" s="407" t="e">
        <f ca="1">ROUND((O117*$AX$38)+(O118*$AX$37)+(O119*$AX$36)+(O120*$AX$35)+(O121*$AX$34)+(O122*$AX$33)+(O123*$AX$32)+(O124*$AX$31)+(O125*$AX$30)+(O126*$AX$29)+(O127*$AX$28)+(O128*$AX$27),0)</f>
        <v>#N/A</v>
      </c>
      <c r="S134" s="248" t="e">
        <f ca="1">SUM($R$117:R134)</f>
        <v>#N/A</v>
      </c>
      <c r="T134" s="407" t="e">
        <f ca="1">ROUND((P117*$AX$38)+(P118*$AX$37)+(P119*$AX$36)+(P120*$AX$35)+(P121*$AX$34)+(P122*$AX$33)+(P123*$AX$32)+(P124*$AX$31)+(P125*$AX$30)+(P126*$AX$29)+(P127*$AX$28)+(P128*$AX$27),0)</f>
        <v>#N/A</v>
      </c>
      <c r="U134" s="244" t="e">
        <f ca="1">SUM($T$117:T134)</f>
        <v>#N/A</v>
      </c>
      <c r="V134" t="e">
        <f t="shared" ca="1" si="105"/>
        <v>#N/A</v>
      </c>
      <c r="W134" s="75" t="e">
        <f ca="1">SUM($V$117:V134)</f>
        <v>#N/A</v>
      </c>
      <c r="X134" s="78" t="e">
        <f t="shared" ca="1" si="93"/>
        <v>#N/A</v>
      </c>
      <c r="Y134" t="e">
        <f t="shared" si="94"/>
        <v>#N/A</v>
      </c>
      <c r="Z134" t="e">
        <f t="shared" ca="1" si="95"/>
        <v>#N/A</v>
      </c>
      <c r="AA134" s="75" t="e">
        <f ca="1">SUM($Z$117:Z134)</f>
        <v>#N/A</v>
      </c>
      <c r="AB134" t="e">
        <f t="shared" ca="1" si="96"/>
        <v>#N/A</v>
      </c>
      <c r="AC134" s="78" t="e">
        <f ca="1">SUM($AB$117:AB134)</f>
        <v>#N/A</v>
      </c>
      <c r="AD134" t="e">
        <f t="shared" ca="1" si="97"/>
        <v>#N/A</v>
      </c>
      <c r="AE134" t="e">
        <f t="shared" ca="1" si="98"/>
        <v>#N/A</v>
      </c>
      <c r="AF134" t="e">
        <f t="shared" ca="1" si="99"/>
        <v>#N/A</v>
      </c>
      <c r="AG134" t="e">
        <f t="shared" ca="1" si="116"/>
        <v>#N/A</v>
      </c>
      <c r="AH134" t="e">
        <f t="shared" ca="1" si="106"/>
        <v>#N/A</v>
      </c>
      <c r="AI134" t="e">
        <f t="shared" ca="1" si="107"/>
        <v>#N/A</v>
      </c>
      <c r="AJ134" t="e">
        <f ca="1">SUM($AI$117:AI134)</f>
        <v>#N/A</v>
      </c>
      <c r="AK134" t="e">
        <f t="shared" ca="1" si="114"/>
        <v>#N/A</v>
      </c>
      <c r="AL134" t="e">
        <f ca="1">SUM($AK$117:AK134)</f>
        <v>#N/A</v>
      </c>
      <c r="AM134" s="407" t="e">
        <f ca="1">ROUND((AE117*$AX$38)+(AE118*$AX$37)+(AE119*$AX$36)+(AE120*$AX$35)+(AE121*$AX$34)+(AE122*$AX$33)+(AE123*$AX$32)+(AE124*$AX$31)+(AE125*$AX$30)+(AE126*$AX$29)+(AE127*$AX$28)+(AE128*$AX$27),0)</f>
        <v>#N/A</v>
      </c>
      <c r="AN134" s="248" t="e">
        <f ca="1">SUM($T$117:T134)+SUM($AM$117:AM134)</f>
        <v>#N/A</v>
      </c>
      <c r="AO134" t="e">
        <f t="shared" ca="1" si="117"/>
        <v>#N/A</v>
      </c>
      <c r="AP134" t="e">
        <f ca="1">SUM($AO$117:AO134)</f>
        <v>#N/A</v>
      </c>
      <c r="AQ134" t="e">
        <f t="shared" ca="1" si="108"/>
        <v>#N/A</v>
      </c>
      <c r="AR134" t="e">
        <f t="shared" ca="1" si="100"/>
        <v>#N/A</v>
      </c>
      <c r="AS134" t="e">
        <f t="shared" ca="1" si="109"/>
        <v>#N/A</v>
      </c>
      <c r="AT134" t="e">
        <f t="shared" ca="1" si="110"/>
        <v>#N/A</v>
      </c>
      <c r="AU134" t="e">
        <f t="shared" ca="1" si="111"/>
        <v>#N/A</v>
      </c>
      <c r="AW134" s="75"/>
      <c r="AX134" s="544"/>
    </row>
    <row r="135" spans="2:50" x14ac:dyDescent="0.25">
      <c r="B135" s="105">
        <f t="shared" si="112"/>
        <v>18</v>
      </c>
      <c r="C135">
        <v>19</v>
      </c>
      <c r="D135" s="78" t="e">
        <f ca="1">'PEP Impact Model'!J37</f>
        <v>#N/A</v>
      </c>
      <c r="E135" s="78" t="e">
        <f t="shared" ca="1" si="113"/>
        <v>#N/A</v>
      </c>
      <c r="F135" t="e">
        <f t="shared" ca="1" si="101"/>
        <v>#N/A</v>
      </c>
      <c r="G135" t="e">
        <f ca="1">SUM($F$117:F135)</f>
        <v>#N/A</v>
      </c>
      <c r="H135" t="e">
        <f t="shared" si="89"/>
        <v>#N/A</v>
      </c>
      <c r="I135" t="e">
        <f t="shared" ca="1" si="90"/>
        <v>#N/A</v>
      </c>
      <c r="J135" t="e">
        <f ca="1">SUM($I$117:I135)</f>
        <v>#N/A</v>
      </c>
      <c r="K135" t="e">
        <f t="shared" ca="1" si="91"/>
        <v>#N/A</v>
      </c>
      <c r="L135" t="e">
        <f t="shared" ca="1" si="92"/>
        <v>#N/A</v>
      </c>
      <c r="M135" s="888">
        <f t="shared" si="102"/>
        <v>0.5</v>
      </c>
      <c r="N135" s="248" t="e">
        <f t="shared" ca="1" si="103"/>
        <v>#N/A</v>
      </c>
      <c r="O135" s="248" t="e">
        <f t="shared" ca="1" si="104"/>
        <v>#N/A</v>
      </c>
      <c r="P135" s="248" t="e">
        <f t="shared" ca="1" si="115"/>
        <v>#N/A</v>
      </c>
      <c r="Q135" s="244" t="e">
        <f ca="1">SUM($P$117:P135)+SUM($V$117:V135)</f>
        <v>#N/A</v>
      </c>
      <c r="R135" s="407" t="e">
        <f ca="1">ROUND((O117*$AX$39)+(O118*$AX$38)+(O119*$AX$37)+(O120*$AX$36)+(O121*$AX$35)+(O122*$AX$34)+(O123*$AX$33)+(O124*$AX$32)+(O125*$AX$31)+(O126*$AX$30)+(O127*$AX$29)+(O128*$AX$28)+(O129*$AX$27),0)</f>
        <v>#N/A</v>
      </c>
      <c r="S135" s="248" t="e">
        <f ca="1">SUM($R$117:R135)</f>
        <v>#N/A</v>
      </c>
      <c r="T135" s="407" t="e">
        <f ca="1">ROUND((P117*$AX$39)+(P118*$AX$38)+(P119*$AX$37)+(P120*$AX$36)+(P121*$AX$35)+(P122*$AX$34)+(P123*$AX$33)+(P124*$AX$32)+(P125*$AX$31)+(P126*$AX$30)+(P127*$AX$29)+(P128*$AX$28)+(P129*$AX$27),0)</f>
        <v>#N/A</v>
      </c>
      <c r="U135" s="244" t="e">
        <f ca="1">SUM($T$117:T135)</f>
        <v>#N/A</v>
      </c>
      <c r="V135" t="e">
        <f t="shared" ca="1" si="105"/>
        <v>#N/A</v>
      </c>
      <c r="W135" s="75" t="e">
        <f ca="1">SUM($V$117:V135)</f>
        <v>#N/A</v>
      </c>
      <c r="X135" s="78" t="e">
        <f t="shared" ca="1" si="93"/>
        <v>#N/A</v>
      </c>
      <c r="Y135" t="e">
        <f t="shared" si="94"/>
        <v>#N/A</v>
      </c>
      <c r="Z135" t="e">
        <f t="shared" ca="1" si="95"/>
        <v>#N/A</v>
      </c>
      <c r="AA135" s="75" t="e">
        <f ca="1">SUM($Z$117:Z135)</f>
        <v>#N/A</v>
      </c>
      <c r="AB135" t="e">
        <f t="shared" ca="1" si="96"/>
        <v>#N/A</v>
      </c>
      <c r="AC135" s="78" t="e">
        <f ca="1">SUM($AB$117:AB135)</f>
        <v>#N/A</v>
      </c>
      <c r="AD135" t="e">
        <f t="shared" ca="1" si="97"/>
        <v>#N/A</v>
      </c>
      <c r="AE135" t="e">
        <f t="shared" ca="1" si="98"/>
        <v>#N/A</v>
      </c>
      <c r="AF135" t="e">
        <f t="shared" ca="1" si="99"/>
        <v>#N/A</v>
      </c>
      <c r="AG135" t="e">
        <f t="shared" ca="1" si="116"/>
        <v>#N/A</v>
      </c>
      <c r="AH135" t="e">
        <f t="shared" ca="1" si="106"/>
        <v>#N/A</v>
      </c>
      <c r="AI135" t="e">
        <f t="shared" ca="1" si="107"/>
        <v>#N/A</v>
      </c>
      <c r="AJ135" t="e">
        <f ca="1">SUM($AI$117:AI135)</f>
        <v>#N/A</v>
      </c>
      <c r="AK135" t="e">
        <f t="shared" ca="1" si="114"/>
        <v>#N/A</v>
      </c>
      <c r="AL135" t="e">
        <f ca="1">SUM($AK$117:AK135)</f>
        <v>#N/A</v>
      </c>
      <c r="AM135" s="407" t="e">
        <f ca="1">ROUND((AE117*$AX$39)+(AE118*$AX$38)+(AE119*$AX$37)+(AE120*$AX$36)+(AE121*$AX$35)+(AE122*$AX$34)+(AE123*$AX$33)+(AE124*$AX$32)+(AE125*$AX$31)+(AE126*$AX$30)+(AE127*$AX$29)+(AE128*$AX$28)+(AE129*$AX$27),0)</f>
        <v>#N/A</v>
      </c>
      <c r="AN135" s="248" t="e">
        <f ca="1">SUM($T$117:T135)+SUM($AM$117:AM135)</f>
        <v>#N/A</v>
      </c>
      <c r="AO135" t="e">
        <f t="shared" ca="1" si="117"/>
        <v>#N/A</v>
      </c>
      <c r="AP135" t="e">
        <f ca="1">SUM($AO$117:AO135)</f>
        <v>#N/A</v>
      </c>
      <c r="AQ135" t="e">
        <f t="shared" ca="1" si="108"/>
        <v>#N/A</v>
      </c>
      <c r="AR135" t="e">
        <f t="shared" ca="1" si="100"/>
        <v>#N/A</v>
      </c>
      <c r="AS135" t="e">
        <f t="shared" ca="1" si="109"/>
        <v>#N/A</v>
      </c>
      <c r="AT135" t="e">
        <f t="shared" ca="1" si="110"/>
        <v>#N/A</v>
      </c>
      <c r="AU135" t="e">
        <f t="shared" ca="1" si="111"/>
        <v>#N/A</v>
      </c>
      <c r="AW135" s="75"/>
      <c r="AX135" s="544"/>
    </row>
    <row r="136" spans="2:50" x14ac:dyDescent="0.25">
      <c r="B136" s="105">
        <f t="shared" si="112"/>
        <v>19</v>
      </c>
      <c r="C136">
        <v>20</v>
      </c>
      <c r="D136" s="78" t="e">
        <f ca="1">'PEP Impact Model'!J38</f>
        <v>#N/A</v>
      </c>
      <c r="E136" s="78" t="e">
        <f t="shared" ca="1" si="113"/>
        <v>#N/A</v>
      </c>
      <c r="F136" t="e">
        <f t="shared" ca="1" si="101"/>
        <v>#N/A</v>
      </c>
      <c r="G136" t="e">
        <f ca="1">SUM($F$117:F136)</f>
        <v>#N/A</v>
      </c>
      <c r="H136" t="e">
        <f t="shared" si="89"/>
        <v>#N/A</v>
      </c>
      <c r="I136" t="e">
        <f t="shared" ca="1" si="90"/>
        <v>#N/A</v>
      </c>
      <c r="J136" t="e">
        <f ca="1">SUM($I$117:I136)</f>
        <v>#N/A</v>
      </c>
      <c r="K136" t="e">
        <f t="shared" ca="1" si="91"/>
        <v>#N/A</v>
      </c>
      <c r="L136" t="e">
        <f t="shared" ca="1" si="92"/>
        <v>#N/A</v>
      </c>
      <c r="M136" s="888">
        <f t="shared" si="102"/>
        <v>0.5</v>
      </c>
      <c r="N136" s="248" t="e">
        <f t="shared" ca="1" si="103"/>
        <v>#N/A</v>
      </c>
      <c r="O136" s="248" t="e">
        <f t="shared" ca="1" si="104"/>
        <v>#N/A</v>
      </c>
      <c r="P136" s="248" t="e">
        <f t="shared" ca="1" si="115"/>
        <v>#N/A</v>
      </c>
      <c r="Q136" s="244" t="e">
        <f ca="1">SUM($P$117:P136)+SUM($V$117:V136)</f>
        <v>#N/A</v>
      </c>
      <c r="R136" s="407" t="e">
        <f ca="1">ROUND((O117*$AX$40)+(O118*$AX$39)+(O119*$AX$38)+(O120*$AX$37)+(O121*$AX$36)+(O122*$AX$35)+(O123*$AX$34)+(O124*$AX$33)+(O125*$AX$32)+(O126*$AX$31)+(O127*$AX$30)+(O128*$AX$29)+(O129*$AX$28)+(O130*$AX$27),0)</f>
        <v>#N/A</v>
      </c>
      <c r="S136" s="248" t="e">
        <f ca="1">SUM($R$117:R136)</f>
        <v>#N/A</v>
      </c>
      <c r="T136" s="407" t="e">
        <f ca="1">ROUND((P117*$AX$40)+(P118*$AX$39)+(P119*$AX$38)+(P120*$AX$37)+(P121*$AX$36)+(P122*$AX$35)+(P123*$AX$34)+(P124*$AX$33)+(P125*$AX$32)+(P126*$AX$31)+(P127*$AX$30)+(P128*$AX$29)+(P129*$AX$28)+(P130*$AX$27),0)</f>
        <v>#N/A</v>
      </c>
      <c r="U136" s="244" t="e">
        <f ca="1">SUM($T$117:T136)</f>
        <v>#N/A</v>
      </c>
      <c r="V136" t="e">
        <f t="shared" ca="1" si="105"/>
        <v>#N/A</v>
      </c>
      <c r="W136" s="75" t="e">
        <f ca="1">SUM($V$117:V136)</f>
        <v>#N/A</v>
      </c>
      <c r="X136" s="78" t="e">
        <f t="shared" ca="1" si="93"/>
        <v>#N/A</v>
      </c>
      <c r="Y136" t="e">
        <f t="shared" si="94"/>
        <v>#N/A</v>
      </c>
      <c r="Z136" t="e">
        <f t="shared" ca="1" si="95"/>
        <v>#N/A</v>
      </c>
      <c r="AA136" s="75" t="e">
        <f ca="1">SUM($Z$117:Z136)</f>
        <v>#N/A</v>
      </c>
      <c r="AB136" t="e">
        <f t="shared" ca="1" si="96"/>
        <v>#N/A</v>
      </c>
      <c r="AC136" s="78" t="e">
        <f ca="1">SUM($AB$117:AB136)</f>
        <v>#N/A</v>
      </c>
      <c r="AD136" t="e">
        <f t="shared" ca="1" si="97"/>
        <v>#N/A</v>
      </c>
      <c r="AE136" t="e">
        <f t="shared" ca="1" si="98"/>
        <v>#N/A</v>
      </c>
      <c r="AF136" t="e">
        <f t="shared" ca="1" si="99"/>
        <v>#N/A</v>
      </c>
      <c r="AG136" t="e">
        <f t="shared" ca="1" si="116"/>
        <v>#N/A</v>
      </c>
      <c r="AH136" t="e">
        <f t="shared" ca="1" si="106"/>
        <v>#N/A</v>
      </c>
      <c r="AI136" t="e">
        <f t="shared" ca="1" si="107"/>
        <v>#N/A</v>
      </c>
      <c r="AJ136" t="e">
        <f ca="1">SUM($AI$117:AI136)</f>
        <v>#N/A</v>
      </c>
      <c r="AK136" t="e">
        <f t="shared" ca="1" si="114"/>
        <v>#N/A</v>
      </c>
      <c r="AL136" t="e">
        <f ca="1">SUM($AK$117:AK136)</f>
        <v>#N/A</v>
      </c>
      <c r="AM136" s="407" t="e">
        <f ca="1">ROUND((AE117*$AX$40)+(AE118*$AX$39)+(AE119*$AX$38)+(AE120*$AX$37)+(AE121*$AX$36)+(AE122*$AX$35)+(AE123*$AX$34)+(AE124*$AX$33)+(AE125*$AX$32)+(AE126*$AX$31)+(AE127*$AX$30)+(AE128*$AX$29)+(AE129*$AX$28)+(AE130*$AX$27),0)</f>
        <v>#N/A</v>
      </c>
      <c r="AN136" s="248" t="e">
        <f ca="1">SUM($T$117:T136)+SUM($AM$117:AM136)</f>
        <v>#N/A</v>
      </c>
      <c r="AO136" t="e">
        <f t="shared" ca="1" si="117"/>
        <v>#N/A</v>
      </c>
      <c r="AP136" t="e">
        <f ca="1">SUM($AO$117:AO136)</f>
        <v>#N/A</v>
      </c>
      <c r="AQ136" t="e">
        <f t="shared" ca="1" si="108"/>
        <v>#N/A</v>
      </c>
      <c r="AR136" t="e">
        <f t="shared" ca="1" si="100"/>
        <v>#N/A</v>
      </c>
      <c r="AS136" t="e">
        <f t="shared" ca="1" si="109"/>
        <v>#N/A</v>
      </c>
      <c r="AT136" t="e">
        <f t="shared" ca="1" si="110"/>
        <v>#N/A</v>
      </c>
      <c r="AU136" t="e">
        <f t="shared" ca="1" si="111"/>
        <v>#N/A</v>
      </c>
      <c r="AW136" s="75"/>
      <c r="AX136" s="544"/>
    </row>
    <row r="137" spans="2:50" x14ac:dyDescent="0.25">
      <c r="B137" s="105">
        <f t="shared" si="112"/>
        <v>20</v>
      </c>
      <c r="C137">
        <v>21</v>
      </c>
      <c r="D137" s="78" t="e">
        <f ca="1">'PEP Impact Model'!J39</f>
        <v>#N/A</v>
      </c>
      <c r="E137" s="78" t="e">
        <f t="shared" ca="1" si="113"/>
        <v>#N/A</v>
      </c>
      <c r="F137" t="e">
        <f t="shared" ca="1" si="101"/>
        <v>#N/A</v>
      </c>
      <c r="G137" t="e">
        <f ca="1">SUM($F$117:F137)</f>
        <v>#N/A</v>
      </c>
      <c r="H137" t="e">
        <f t="shared" si="89"/>
        <v>#N/A</v>
      </c>
      <c r="I137" t="e">
        <f t="shared" ca="1" si="90"/>
        <v>#N/A</v>
      </c>
      <c r="J137" t="e">
        <f ca="1">SUM($I$117:I137)</f>
        <v>#N/A</v>
      </c>
      <c r="K137" t="e">
        <f t="shared" ca="1" si="91"/>
        <v>#N/A</v>
      </c>
      <c r="L137" t="e">
        <f t="shared" ca="1" si="92"/>
        <v>#N/A</v>
      </c>
      <c r="M137" s="888">
        <f t="shared" si="102"/>
        <v>0.5</v>
      </c>
      <c r="N137" s="248" t="e">
        <f t="shared" ca="1" si="103"/>
        <v>#N/A</v>
      </c>
      <c r="O137" s="248" t="e">
        <f t="shared" ca="1" si="104"/>
        <v>#N/A</v>
      </c>
      <c r="P137" s="248" t="e">
        <f t="shared" ca="1" si="115"/>
        <v>#N/A</v>
      </c>
      <c r="Q137" s="244" t="e">
        <f ca="1">SUM($P$117:P137)+SUM($V$117:V137)</f>
        <v>#N/A</v>
      </c>
      <c r="R137" s="407" t="e">
        <f ca="1">ROUND((O117*$AX$41)+(O118*$AX$40)+(O119*$AX$39)+(O120*$AX$38)+(O121*$AX$37)+(O122*$AX$36)+(O123*$AX$35)+(O124*$AX$34)+(O125*$AX$33)+(O126*$AX$32)+(O127*$AX$31)+(O128*$AX$30)+(O129*$AX$29)+(O130*$AX$28)+(O131*$AX$27),0)</f>
        <v>#N/A</v>
      </c>
      <c r="S137" s="248" t="e">
        <f ca="1">SUM($R$117:R137)</f>
        <v>#N/A</v>
      </c>
      <c r="T137" s="407" t="e">
        <f ca="1">ROUND((P117*$AX$41)+(P118*$AX$40)+(P119*$AX$39)+(P120*$AX$38)+(P121*$AX$37)+(P122*$AX$36)+(P123*$AX$35)+(P124*$AX$34)+(P125*$AX$33)+(P126*$AX$32)+(P127*$AX$31)+(P128*$AX$30)+(P129*$AX$29)+(P130*$AX$28)+(P131*$AX$27),0)</f>
        <v>#N/A</v>
      </c>
      <c r="U137" s="244" t="e">
        <f ca="1">SUM($T$117:T137)</f>
        <v>#N/A</v>
      </c>
      <c r="V137" t="e">
        <f t="shared" ca="1" si="105"/>
        <v>#N/A</v>
      </c>
      <c r="W137" s="75" t="e">
        <f ca="1">SUM($V$117:V137)</f>
        <v>#N/A</v>
      </c>
      <c r="X137" s="78" t="e">
        <f t="shared" ca="1" si="93"/>
        <v>#N/A</v>
      </c>
      <c r="Y137" t="e">
        <f t="shared" si="94"/>
        <v>#N/A</v>
      </c>
      <c r="Z137" t="e">
        <f t="shared" ca="1" si="95"/>
        <v>#N/A</v>
      </c>
      <c r="AA137" s="75" t="e">
        <f ca="1">SUM($Z$117:Z137)</f>
        <v>#N/A</v>
      </c>
      <c r="AB137" t="e">
        <f t="shared" ca="1" si="96"/>
        <v>#N/A</v>
      </c>
      <c r="AC137" s="78" t="e">
        <f ca="1">SUM($AB$117:AB137)</f>
        <v>#N/A</v>
      </c>
      <c r="AD137" t="e">
        <f t="shared" ca="1" si="97"/>
        <v>#N/A</v>
      </c>
      <c r="AE137" t="e">
        <f t="shared" ca="1" si="98"/>
        <v>#N/A</v>
      </c>
      <c r="AF137" t="e">
        <f t="shared" ca="1" si="99"/>
        <v>#N/A</v>
      </c>
      <c r="AG137" t="e">
        <f t="shared" ca="1" si="116"/>
        <v>#N/A</v>
      </c>
      <c r="AH137" t="e">
        <f t="shared" ca="1" si="106"/>
        <v>#N/A</v>
      </c>
      <c r="AI137" t="e">
        <f t="shared" ca="1" si="107"/>
        <v>#N/A</v>
      </c>
      <c r="AJ137" t="e">
        <f ca="1">SUM($AI$117:AI137)</f>
        <v>#N/A</v>
      </c>
      <c r="AK137" t="e">
        <f t="shared" ca="1" si="114"/>
        <v>#N/A</v>
      </c>
      <c r="AL137" t="e">
        <f ca="1">SUM($AK$117:AK137)</f>
        <v>#N/A</v>
      </c>
      <c r="AM137" s="407" t="e">
        <f ca="1">ROUND((AE117*$AX$41)+(AE118*$AX$40)+(AE119*$AX$39)+(AE120*$AX$38)+(AE121*$AX$37)+(AE122*$AX$36)+(AE123*$AX$35)+(AE124*$AX$34)+(AE125*$AX$33)+(AE126*$AX$32)+(AE127*$AX$31)+(AE128*$AX$30)+(AE129*$AX$29)+(AE130*$AX$28)+(AE131*$AX$27),0)</f>
        <v>#N/A</v>
      </c>
      <c r="AN137" s="248" t="e">
        <f ca="1">SUM($T$117:T137)+SUM($AM$117:AM137)</f>
        <v>#N/A</v>
      </c>
      <c r="AO137" t="e">
        <f t="shared" ca="1" si="117"/>
        <v>#N/A</v>
      </c>
      <c r="AP137" t="e">
        <f ca="1">SUM($AO$117:AO137)</f>
        <v>#N/A</v>
      </c>
      <c r="AQ137" t="e">
        <f t="shared" ca="1" si="108"/>
        <v>#N/A</v>
      </c>
      <c r="AR137" t="e">
        <f t="shared" ca="1" si="100"/>
        <v>#N/A</v>
      </c>
      <c r="AS137" t="e">
        <f t="shared" ca="1" si="109"/>
        <v>#N/A</v>
      </c>
      <c r="AT137" t="e">
        <f t="shared" ca="1" si="110"/>
        <v>#N/A</v>
      </c>
      <c r="AU137" t="e">
        <f t="shared" ca="1" si="111"/>
        <v>#N/A</v>
      </c>
      <c r="AW137" s="75"/>
      <c r="AX137" s="545"/>
    </row>
    <row r="138" spans="2:50" x14ac:dyDescent="0.25">
      <c r="B138" s="105">
        <f t="shared" si="112"/>
        <v>21</v>
      </c>
      <c r="C138">
        <v>22</v>
      </c>
      <c r="D138" s="78" t="e">
        <f ca="1">'PEP Impact Model'!J40</f>
        <v>#N/A</v>
      </c>
      <c r="E138" s="78" t="e">
        <f t="shared" ca="1" si="113"/>
        <v>#N/A</v>
      </c>
      <c r="F138" t="e">
        <f t="shared" ca="1" si="101"/>
        <v>#N/A</v>
      </c>
      <c r="G138" t="e">
        <f ca="1">SUM($F$117:F138)</f>
        <v>#N/A</v>
      </c>
      <c r="H138" t="e">
        <f t="shared" si="89"/>
        <v>#N/A</v>
      </c>
      <c r="I138" t="e">
        <f t="shared" ca="1" si="90"/>
        <v>#N/A</v>
      </c>
      <c r="J138" t="e">
        <f ca="1">SUM($I$117:I138)</f>
        <v>#N/A</v>
      </c>
      <c r="K138" t="e">
        <f t="shared" ca="1" si="91"/>
        <v>#N/A</v>
      </c>
      <c r="L138" t="e">
        <f t="shared" ca="1" si="92"/>
        <v>#N/A</v>
      </c>
      <c r="M138" s="888">
        <f t="shared" si="102"/>
        <v>0.5</v>
      </c>
      <c r="N138" s="248" t="e">
        <f t="shared" ca="1" si="103"/>
        <v>#N/A</v>
      </c>
      <c r="O138" s="248" t="e">
        <f t="shared" ca="1" si="104"/>
        <v>#N/A</v>
      </c>
      <c r="P138" s="248" t="e">
        <f t="shared" ca="1" si="115"/>
        <v>#N/A</v>
      </c>
      <c r="Q138" s="244" t="e">
        <f ca="1">SUM($P$117:P138)+SUM($V$117:V138)</f>
        <v>#N/A</v>
      </c>
      <c r="R138" s="407" t="e">
        <f ca="1">ROUND((O117*$AX$42)+(O118*$AX$41)+(O119*$AX$40)+(O120*$AX$39)+(O121*$AX$38)+(O122*$AX$37)+(O123*$AX$36)+(O124*$AX$35)+(O125*$AX$34)+(O126*$AX$33)+(O127*$AX$32)+(O128*$AX$31)+(O129*$AX$30)+(O130*$AX$29)+(O131*$AX$28)+(O132*$AX$27),0)</f>
        <v>#N/A</v>
      </c>
      <c r="S138" s="248" t="e">
        <f ca="1">SUM($R$117:R138)</f>
        <v>#N/A</v>
      </c>
      <c r="T138" s="407" t="e">
        <f ca="1">ROUND((P117*$AX$42)+(P118*$AX$41)+(P119*$AX$40)+(P120*$AX$39)+(P121*$AX$38)+(P122*$AX$37)+(P123*$AX$36)+(P124*$AX$35)+(P125*$AX$34)+(P126*$AX$33)+(P127*$AX$32)+(P128*$AX$31)+(P129*$AX$30)+(P130*$AX$29)+(P131*$AX$28)+(P132*$AX$27),0)</f>
        <v>#N/A</v>
      </c>
      <c r="U138" s="244" t="e">
        <f ca="1">SUM($T$117:T138)</f>
        <v>#N/A</v>
      </c>
      <c r="V138" t="e">
        <f t="shared" ca="1" si="105"/>
        <v>#N/A</v>
      </c>
      <c r="W138" s="75" t="e">
        <f ca="1">SUM($V$117:V138)</f>
        <v>#N/A</v>
      </c>
      <c r="X138" s="78" t="e">
        <f t="shared" ca="1" si="93"/>
        <v>#N/A</v>
      </c>
      <c r="Y138" t="e">
        <f t="shared" si="94"/>
        <v>#N/A</v>
      </c>
      <c r="Z138" t="e">
        <f t="shared" ca="1" si="95"/>
        <v>#N/A</v>
      </c>
      <c r="AA138" s="75" t="e">
        <f ca="1">SUM($Z$117:Z138)</f>
        <v>#N/A</v>
      </c>
      <c r="AB138" t="e">
        <f t="shared" ca="1" si="96"/>
        <v>#N/A</v>
      </c>
      <c r="AC138" s="78" t="e">
        <f ca="1">SUM($AB$117:AB138)</f>
        <v>#N/A</v>
      </c>
      <c r="AD138" t="e">
        <f t="shared" ca="1" si="97"/>
        <v>#N/A</v>
      </c>
      <c r="AE138" t="e">
        <f t="shared" ca="1" si="98"/>
        <v>#N/A</v>
      </c>
      <c r="AF138" t="e">
        <f t="shared" ca="1" si="99"/>
        <v>#N/A</v>
      </c>
      <c r="AG138" t="e">
        <f t="shared" ca="1" si="116"/>
        <v>#N/A</v>
      </c>
      <c r="AH138" t="e">
        <f t="shared" ca="1" si="106"/>
        <v>#N/A</v>
      </c>
      <c r="AI138" t="e">
        <f t="shared" ca="1" si="107"/>
        <v>#N/A</v>
      </c>
      <c r="AJ138" t="e">
        <f ca="1">SUM($AI$117:AI138)</f>
        <v>#N/A</v>
      </c>
      <c r="AK138" t="e">
        <f t="shared" ca="1" si="114"/>
        <v>#N/A</v>
      </c>
      <c r="AL138" t="e">
        <f ca="1">SUM($AK$117:AK138)</f>
        <v>#N/A</v>
      </c>
      <c r="AM138" s="407" t="e">
        <f ca="1">ROUND((AE117*$AX$42)+(AE118*$AX$41)+(AE119*$AX$40)+(AE120*$AX$39)+(AE121*$AX$38)+(AE122*$AX$37)+(AE123*$AX$36)+(AE124*$AX$35)+(AE125*$AX$34)+(AE126*$AX$33)+(AE127*$AX$32)+(AE128*$AX$31)+(AE129*$AX$30)+(AE130*$AX$29)+(AE131*$AX$28)+(AE132*$AX$27),0)</f>
        <v>#N/A</v>
      </c>
      <c r="AN138" s="248" t="e">
        <f ca="1">SUM($T$117:T138)+SUM($AM$117:AM138)</f>
        <v>#N/A</v>
      </c>
      <c r="AO138" t="e">
        <f t="shared" ca="1" si="117"/>
        <v>#N/A</v>
      </c>
      <c r="AP138" t="e">
        <f ca="1">SUM($AO$117:AO138)</f>
        <v>#N/A</v>
      </c>
      <c r="AQ138" t="e">
        <f t="shared" ca="1" si="108"/>
        <v>#N/A</v>
      </c>
      <c r="AR138" t="e">
        <f t="shared" ca="1" si="100"/>
        <v>#N/A</v>
      </c>
      <c r="AS138" t="e">
        <f t="shared" ca="1" si="109"/>
        <v>#N/A</v>
      </c>
      <c r="AT138" t="e">
        <f t="shared" ca="1" si="110"/>
        <v>#N/A</v>
      </c>
      <c r="AU138" t="e">
        <f t="shared" ca="1" si="111"/>
        <v>#N/A</v>
      </c>
    </row>
    <row r="139" spans="2:50" x14ac:dyDescent="0.25">
      <c r="B139" s="105">
        <f t="shared" si="112"/>
        <v>22</v>
      </c>
      <c r="C139">
        <v>23</v>
      </c>
      <c r="D139" s="78" t="e">
        <f ca="1">'PEP Impact Model'!J41</f>
        <v>#N/A</v>
      </c>
      <c r="E139" s="78" t="e">
        <f t="shared" ca="1" si="113"/>
        <v>#N/A</v>
      </c>
      <c r="F139" t="e">
        <f t="shared" ca="1" si="101"/>
        <v>#N/A</v>
      </c>
      <c r="G139" t="e">
        <f ca="1">SUM($F$117:F139)</f>
        <v>#N/A</v>
      </c>
      <c r="H139" t="e">
        <f t="shared" si="89"/>
        <v>#N/A</v>
      </c>
      <c r="I139" t="e">
        <f t="shared" ca="1" si="90"/>
        <v>#N/A</v>
      </c>
      <c r="J139" t="e">
        <f ca="1">SUM($I$117:I139)</f>
        <v>#N/A</v>
      </c>
      <c r="K139" t="e">
        <f t="shared" ca="1" si="91"/>
        <v>#N/A</v>
      </c>
      <c r="L139" t="e">
        <f t="shared" ca="1" si="92"/>
        <v>#N/A</v>
      </c>
      <c r="M139" s="888">
        <f t="shared" si="102"/>
        <v>0.5</v>
      </c>
      <c r="N139" s="248" t="e">
        <f t="shared" ca="1" si="103"/>
        <v>#N/A</v>
      </c>
      <c r="O139" s="248" t="e">
        <f t="shared" ca="1" si="104"/>
        <v>#N/A</v>
      </c>
      <c r="P139" s="248" t="e">
        <f t="shared" ca="1" si="115"/>
        <v>#N/A</v>
      </c>
      <c r="Q139" s="244" t="e">
        <f ca="1">SUM($P$117:P139)+SUM($V$117:V139)</f>
        <v>#N/A</v>
      </c>
      <c r="R139" s="407" t="e">
        <f ca="1">ROUND((O117*$AX$43)+(O118*$AX$42)+(O119*$AX$41)+(O120*$AX$40)+(O121*$AX$39)+(O122*$AX$38)+(O123*$AX$37)+(O124*$AX$36)+(O125*$AX$35)+(O126*$AX$34)+(O127*$AX$33)+(O128*$AX$32)+(O129*$AX$31)+(O130*$AX$30)+(O131*$AX$29)+(O132*$AX$28)+(O133*$AX$27),0)</f>
        <v>#N/A</v>
      </c>
      <c r="S139" s="248" t="e">
        <f ca="1">SUM($R$117:R139)</f>
        <v>#N/A</v>
      </c>
      <c r="T139" s="407" t="e">
        <f ca="1">ROUND((P117*$AX$43)+(P118*$AX$42)+(P119*$AX$41)+(P120*$AX$40)+(P121*$AX$39)+(P122*$AX$38)+(P123*$AX$37)+(P124*$AX$36)+(P125*$AX$35)+(P126*$AX$34)+(P127*$AX$33)+(P128*$AX$32)+(P129*$AX$31)+(P130*$AX$30)+(P131*$AX$29)+(P132*$AX$28)+(P133*$AX$27),0)</f>
        <v>#N/A</v>
      </c>
      <c r="U139" s="244" t="e">
        <f ca="1">SUM($T$117:T139)</f>
        <v>#N/A</v>
      </c>
      <c r="V139" t="e">
        <f t="shared" ca="1" si="105"/>
        <v>#N/A</v>
      </c>
      <c r="W139" s="75" t="e">
        <f ca="1">SUM($V$117:V139)</f>
        <v>#N/A</v>
      </c>
      <c r="X139" s="78" t="e">
        <f t="shared" ca="1" si="93"/>
        <v>#N/A</v>
      </c>
      <c r="Y139" t="e">
        <f t="shared" si="94"/>
        <v>#N/A</v>
      </c>
      <c r="Z139" t="e">
        <f t="shared" ca="1" si="95"/>
        <v>#N/A</v>
      </c>
      <c r="AA139" s="75" t="e">
        <f ca="1">SUM($Z$117:Z139)</f>
        <v>#N/A</v>
      </c>
      <c r="AB139" t="e">
        <f t="shared" ca="1" si="96"/>
        <v>#N/A</v>
      </c>
      <c r="AC139" s="78" t="e">
        <f ca="1">SUM($AB$117:AB139)</f>
        <v>#N/A</v>
      </c>
      <c r="AD139" t="e">
        <f t="shared" ca="1" si="97"/>
        <v>#N/A</v>
      </c>
      <c r="AE139" t="e">
        <f t="shared" ca="1" si="98"/>
        <v>#N/A</v>
      </c>
      <c r="AF139" t="e">
        <f t="shared" ca="1" si="99"/>
        <v>#N/A</v>
      </c>
      <c r="AG139" t="e">
        <f t="shared" ca="1" si="116"/>
        <v>#N/A</v>
      </c>
      <c r="AH139" t="e">
        <f t="shared" ca="1" si="106"/>
        <v>#N/A</v>
      </c>
      <c r="AI139" t="e">
        <f t="shared" ca="1" si="107"/>
        <v>#N/A</v>
      </c>
      <c r="AJ139" t="e">
        <f ca="1">SUM($AI$117:AI139)</f>
        <v>#N/A</v>
      </c>
      <c r="AK139" t="e">
        <f t="shared" ca="1" si="114"/>
        <v>#N/A</v>
      </c>
      <c r="AL139" t="e">
        <f ca="1">SUM($AK$117:AK139)</f>
        <v>#N/A</v>
      </c>
      <c r="AM139" s="407" t="e">
        <f ca="1">ROUND((AE117*$AX$43)+(AE118*$AX$42)+(AE119*$AX$41)+(AE120*$AX$40)+(AE121*$AX$39)+(AE122*$AX$38)+(AE123*$AX$37)+(AE124*$AX$36)+(AE125*$AX$35)+(AE126*$AX$34)+(AE127*$AX$33)+(AE128*$AX$32)+(AE129*$AX$31)+(AE130*$AX$30)+(AE131*$AX$29)+(AE132*$AX$28)+(AE133*$AX$27),0)</f>
        <v>#N/A</v>
      </c>
      <c r="AN139" s="248" t="e">
        <f ca="1">SUM($T$117:T139)+SUM($AM$117:AM139)</f>
        <v>#N/A</v>
      </c>
      <c r="AO139" t="e">
        <f t="shared" ca="1" si="117"/>
        <v>#N/A</v>
      </c>
      <c r="AP139" t="e">
        <f ca="1">SUM($AO$117:AO139)</f>
        <v>#N/A</v>
      </c>
      <c r="AQ139" t="e">
        <f t="shared" ca="1" si="108"/>
        <v>#N/A</v>
      </c>
      <c r="AR139" t="e">
        <f t="shared" ca="1" si="100"/>
        <v>#N/A</v>
      </c>
      <c r="AS139" t="e">
        <f t="shared" ca="1" si="109"/>
        <v>#N/A</v>
      </c>
      <c r="AT139" t="e">
        <f t="shared" ca="1" si="110"/>
        <v>#N/A</v>
      </c>
      <c r="AU139" t="e">
        <f t="shared" ca="1" si="111"/>
        <v>#N/A</v>
      </c>
    </row>
    <row r="140" spans="2:50" x14ac:dyDescent="0.25">
      <c r="B140" s="105">
        <f t="shared" si="112"/>
        <v>23</v>
      </c>
      <c r="C140">
        <v>24</v>
      </c>
      <c r="D140" s="78" t="e">
        <f ca="1">'PEP Impact Model'!J42</f>
        <v>#N/A</v>
      </c>
      <c r="E140" s="78" t="e">
        <f t="shared" ca="1" si="113"/>
        <v>#N/A</v>
      </c>
      <c r="F140" t="e">
        <f t="shared" ca="1" si="101"/>
        <v>#N/A</v>
      </c>
      <c r="G140" t="e">
        <f ca="1">SUM($F$117:F140)</f>
        <v>#N/A</v>
      </c>
      <c r="H140" t="e">
        <f t="shared" si="89"/>
        <v>#N/A</v>
      </c>
      <c r="I140" t="e">
        <f t="shared" ca="1" si="90"/>
        <v>#N/A</v>
      </c>
      <c r="J140" t="e">
        <f ca="1">SUM($I$117:I140)</f>
        <v>#N/A</v>
      </c>
      <c r="K140" t="e">
        <f t="shared" ca="1" si="91"/>
        <v>#N/A</v>
      </c>
      <c r="L140" t="e">
        <f t="shared" ca="1" si="92"/>
        <v>#N/A</v>
      </c>
      <c r="M140" s="888">
        <f t="shared" si="102"/>
        <v>0.5</v>
      </c>
      <c r="N140" s="248" t="e">
        <f t="shared" ca="1" si="103"/>
        <v>#N/A</v>
      </c>
      <c r="O140" s="248" t="e">
        <f t="shared" ca="1" si="104"/>
        <v>#N/A</v>
      </c>
      <c r="P140" s="248" t="e">
        <f t="shared" ca="1" si="115"/>
        <v>#N/A</v>
      </c>
      <c r="Q140" s="244" t="e">
        <f ca="1">SUM($P$117:P140)+SUM($V$117:V140)</f>
        <v>#N/A</v>
      </c>
      <c r="R140" s="407" t="e">
        <f ca="1">ROUND((O117*$AX$44)+(O118*$AX$43)+(O119*$AX$42)+(O120*$AX$41)+(O121*$AX$40)+(O122*$AX$39)+(O123*$AX$38)+(O124*$AX$37)+(O125*$AX$36)+(O126*$AX$35)+(O127*$AX$34)+(O128*$AX$33)+(O129*$AX$32)+(O130*$AX$31)+(O131*$AX$30)+(O132*$AX$29)+(O133*$AX$28)+(O134*$AX$27),0)</f>
        <v>#N/A</v>
      </c>
      <c r="S140" s="248" t="e">
        <f ca="1">SUM($R$117:R140)</f>
        <v>#N/A</v>
      </c>
      <c r="T140" s="407" t="e">
        <f ca="1">ROUND((P117*$AX$44)+(P118*$AX$43)+(P119*$AX$42)+(P120*$AX$41)+(P121*$AX$40)+(P122*$AX$39)+(P123*$AX$38)+(P124*$AX$37)+(P125*$AX$36)+(P126*$AX$35)+(P127*$AX$34)+(P128*$AX$33)+(P129*$AX$32)+(P130*$AX$31)+(P131*$AX$30)+(P132*$AX$29)+(P133*$AX$28)+(P134*$AX$27),0)</f>
        <v>#N/A</v>
      </c>
      <c r="U140" s="244" t="e">
        <f ca="1">SUM($T$117:T140)</f>
        <v>#N/A</v>
      </c>
      <c r="V140" t="e">
        <f t="shared" ca="1" si="105"/>
        <v>#N/A</v>
      </c>
      <c r="W140" s="75" t="e">
        <f ca="1">SUM($V$117:V140)</f>
        <v>#N/A</v>
      </c>
      <c r="X140" s="78" t="e">
        <f t="shared" ca="1" si="93"/>
        <v>#N/A</v>
      </c>
      <c r="Y140" t="e">
        <f t="shared" si="94"/>
        <v>#N/A</v>
      </c>
      <c r="Z140" t="e">
        <f t="shared" ca="1" si="95"/>
        <v>#N/A</v>
      </c>
      <c r="AA140" s="75" t="e">
        <f ca="1">SUM($Z$117:Z140)</f>
        <v>#N/A</v>
      </c>
      <c r="AB140" t="e">
        <f t="shared" ca="1" si="96"/>
        <v>#N/A</v>
      </c>
      <c r="AC140" s="78" t="e">
        <f ca="1">SUM($AB$117:AB140)</f>
        <v>#N/A</v>
      </c>
      <c r="AD140" t="e">
        <f t="shared" ca="1" si="97"/>
        <v>#N/A</v>
      </c>
      <c r="AE140" t="e">
        <f t="shared" ca="1" si="98"/>
        <v>#N/A</v>
      </c>
      <c r="AF140" t="e">
        <f t="shared" ca="1" si="99"/>
        <v>#N/A</v>
      </c>
      <c r="AG140" t="e">
        <f t="shared" ca="1" si="116"/>
        <v>#N/A</v>
      </c>
      <c r="AH140" t="e">
        <f t="shared" ca="1" si="106"/>
        <v>#N/A</v>
      </c>
      <c r="AI140" t="e">
        <f t="shared" ca="1" si="107"/>
        <v>#N/A</v>
      </c>
      <c r="AJ140" t="e">
        <f ca="1">SUM($AI$117:AI140)</f>
        <v>#N/A</v>
      </c>
      <c r="AK140" t="e">
        <f t="shared" ca="1" si="114"/>
        <v>#N/A</v>
      </c>
      <c r="AL140" t="e">
        <f ca="1">SUM($AK$117:AK140)</f>
        <v>#N/A</v>
      </c>
      <c r="AM140" s="407" t="e">
        <f ca="1">ROUND((AE117*$AX$44)+(AE118*$AX$43)+(AE119*$AX$42)+(AE120*$AX$41)+(AE121*$AX$40)+(AE122*$AX$39)+(AE123*$AX$38)+(AE124*$AX$37)+(AE125*$AX$36)+(AE126*$AX$35)+(AE127*$AX$34)+(AE128*$AX$33)+(AE129*$AX$32)+(AE130*$AX$31)+(AE131*$AX$30)+(AE132*$AX$29)+(AE133*$AX$28)+(AE134*$AX$27),0)</f>
        <v>#N/A</v>
      </c>
      <c r="AN140" s="248" t="e">
        <f ca="1">SUM($T$117:T140)+SUM($AM$117:AM140)</f>
        <v>#N/A</v>
      </c>
      <c r="AO140" t="e">
        <f t="shared" ca="1" si="117"/>
        <v>#N/A</v>
      </c>
      <c r="AP140" t="e">
        <f ca="1">SUM($AO$117:AO140)</f>
        <v>#N/A</v>
      </c>
      <c r="AQ140" t="e">
        <f t="shared" ca="1" si="108"/>
        <v>#N/A</v>
      </c>
      <c r="AR140" t="e">
        <f t="shared" ca="1" si="100"/>
        <v>#N/A</v>
      </c>
      <c r="AS140" t="e">
        <f t="shared" ca="1" si="109"/>
        <v>#N/A</v>
      </c>
      <c r="AT140" t="e">
        <f t="shared" ca="1" si="110"/>
        <v>#N/A</v>
      </c>
      <c r="AU140" t="e">
        <f t="shared" ca="1" si="111"/>
        <v>#N/A</v>
      </c>
    </row>
    <row r="141" spans="2:50" x14ac:dyDescent="0.25">
      <c r="B141" s="105">
        <f t="shared" si="112"/>
        <v>24</v>
      </c>
      <c r="C141">
        <v>25</v>
      </c>
      <c r="D141" s="78" t="e">
        <f ca="1">'PEP Impact Model'!J43</f>
        <v>#N/A</v>
      </c>
      <c r="E141" s="78" t="e">
        <f t="shared" ca="1" si="113"/>
        <v>#N/A</v>
      </c>
      <c r="F141" t="e">
        <f t="shared" ca="1" si="101"/>
        <v>#N/A</v>
      </c>
      <c r="G141" t="e">
        <f ca="1">SUM($F$117:F141)</f>
        <v>#N/A</v>
      </c>
      <c r="H141" t="e">
        <f t="shared" si="89"/>
        <v>#N/A</v>
      </c>
      <c r="I141" t="e">
        <f t="shared" ca="1" si="90"/>
        <v>#N/A</v>
      </c>
      <c r="J141" t="e">
        <f ca="1">SUM($I$117:I141)</f>
        <v>#N/A</v>
      </c>
      <c r="K141" t="e">
        <f t="shared" ca="1" si="91"/>
        <v>#N/A</v>
      </c>
      <c r="L141" t="e">
        <f t="shared" ca="1" si="92"/>
        <v>#N/A</v>
      </c>
      <c r="M141" s="888">
        <f t="shared" si="102"/>
        <v>0.5</v>
      </c>
      <c r="N141" s="248" t="e">
        <f t="shared" ca="1" si="103"/>
        <v>#N/A</v>
      </c>
      <c r="O141" s="248" t="e">
        <f t="shared" ca="1" si="104"/>
        <v>#N/A</v>
      </c>
      <c r="P141" s="248" t="e">
        <f t="shared" ca="1" si="115"/>
        <v>#N/A</v>
      </c>
      <c r="Q141" s="244" t="e">
        <f ca="1">SUM($P$117:P141)+SUM($V$117:V141)</f>
        <v>#N/A</v>
      </c>
      <c r="R141" s="407" t="e">
        <f ca="1">ROUND((O117*$AX$45)+(O118*$AX$44)+(O119*$AX$43)+(O120*$AX$42)+(O121*$AX$41)+(O122*$AX$40)+(O123*$AX$39)+(O124*$AX$38)+(O125*$AX$37)+(O126*$AX$36)+(O127*$AX$35)+(O128*$AX$34)+(O129*$AX$33)+(O130*$AX$32)+(O131*$AX$31)+(O132*$AX$30)+(O133*$AX$29)+(O134*$AX$28)+(O135*$AX$27),0)</f>
        <v>#N/A</v>
      </c>
      <c r="S141" s="248" t="e">
        <f ca="1">SUM($R$117:R141)</f>
        <v>#N/A</v>
      </c>
      <c r="T141" s="407" t="e">
        <f ca="1">ROUND((P117*$AX$45)+(P118*$AX$44)+(P119*$AX$43)+(P120*$AX$42)+(P121*$AX$41)+(P122*$AX$40)+(P123*$AX$39)+(P124*$AX$38)+(P125*$AX$37)+(P126*$AX$36)+(P127*$AX$35)+(P128*$AX$34)+(P129*$AX$33)+(P130*$AX$32)+(P131*$AX$31)+(P132*$AX$30)+(P133*$AX$29)+(P134*$AX$28)+(P135*$AX$27),0)</f>
        <v>#N/A</v>
      </c>
      <c r="U141" s="244" t="e">
        <f ca="1">SUM($T$117:T141)</f>
        <v>#N/A</v>
      </c>
      <c r="V141" t="e">
        <f t="shared" ca="1" si="105"/>
        <v>#N/A</v>
      </c>
      <c r="W141" s="75" t="e">
        <f ca="1">SUM($V$117:V141)</f>
        <v>#N/A</v>
      </c>
      <c r="X141" s="78" t="e">
        <f t="shared" ca="1" si="93"/>
        <v>#N/A</v>
      </c>
      <c r="Y141" t="e">
        <f t="shared" si="94"/>
        <v>#N/A</v>
      </c>
      <c r="Z141" t="e">
        <f t="shared" ca="1" si="95"/>
        <v>#N/A</v>
      </c>
      <c r="AA141" s="75" t="e">
        <f ca="1">SUM($Z$117:Z141)</f>
        <v>#N/A</v>
      </c>
      <c r="AB141" t="e">
        <f t="shared" ca="1" si="96"/>
        <v>#N/A</v>
      </c>
      <c r="AC141" s="78" t="e">
        <f ca="1">SUM($AB$117:AB141)</f>
        <v>#N/A</v>
      </c>
      <c r="AD141" t="e">
        <f t="shared" ca="1" si="97"/>
        <v>#N/A</v>
      </c>
      <c r="AE141" t="e">
        <f t="shared" ca="1" si="98"/>
        <v>#N/A</v>
      </c>
      <c r="AF141" t="e">
        <f t="shared" ca="1" si="99"/>
        <v>#N/A</v>
      </c>
      <c r="AG141" t="e">
        <f t="shared" ca="1" si="116"/>
        <v>#N/A</v>
      </c>
      <c r="AH141" t="e">
        <f t="shared" ca="1" si="106"/>
        <v>#N/A</v>
      </c>
      <c r="AI141" t="e">
        <f t="shared" ca="1" si="107"/>
        <v>#N/A</v>
      </c>
      <c r="AJ141" t="e">
        <f ca="1">SUM($AI$117:AI141)</f>
        <v>#N/A</v>
      </c>
      <c r="AK141" t="e">
        <f t="shared" ca="1" si="114"/>
        <v>#N/A</v>
      </c>
      <c r="AL141" t="e">
        <f ca="1">SUM($AK$117:AK141)</f>
        <v>#N/A</v>
      </c>
      <c r="AM141" s="407" t="e">
        <f ca="1">ROUND((AE117*$AX$45)+(AE118*$AX$44)+(AE119*$AX$43)+(AE120*$AX$42)+(AE121*$AX$41)+(AE122*$AX$40)+(AE123*$AX$39)+(AE124*$AX$38)+(AE125*$AX$37)+(AE126*$AX$36)+(AE127*$AX$35)+(AE128*$AX$34)+(AE129*$AX$33)+(AE130*$AX$32)+(AE131*$AX$31)+(AE132*$AX$30)+(AE133*$AX$29)+(AE134*$AX$28)+(AE135*$AX$27),0)</f>
        <v>#N/A</v>
      </c>
      <c r="AN141" s="248" t="e">
        <f ca="1">SUM($T$117:T141)+SUM($AM$117:AM141)</f>
        <v>#N/A</v>
      </c>
      <c r="AO141" t="e">
        <f t="shared" ca="1" si="117"/>
        <v>#N/A</v>
      </c>
      <c r="AP141" t="e">
        <f ca="1">SUM($AO$117:AO141)</f>
        <v>#N/A</v>
      </c>
      <c r="AQ141" t="e">
        <f t="shared" ca="1" si="108"/>
        <v>#N/A</v>
      </c>
      <c r="AR141" t="e">
        <f t="shared" ca="1" si="100"/>
        <v>#N/A</v>
      </c>
      <c r="AS141" t="e">
        <f t="shared" ca="1" si="109"/>
        <v>#N/A</v>
      </c>
      <c r="AT141" t="e">
        <f t="shared" ca="1" si="110"/>
        <v>#N/A</v>
      </c>
      <c r="AU141" t="e">
        <f t="shared" ca="1" si="111"/>
        <v>#N/A</v>
      </c>
    </row>
    <row r="142" spans="2:50" x14ac:dyDescent="0.25">
      <c r="B142" s="105">
        <f t="shared" si="112"/>
        <v>25</v>
      </c>
      <c r="C142">
        <v>26</v>
      </c>
      <c r="D142" s="78" t="e">
        <f ca="1">'PEP Impact Model'!J44</f>
        <v>#N/A</v>
      </c>
      <c r="E142" s="78" t="e">
        <f t="shared" ca="1" si="113"/>
        <v>#N/A</v>
      </c>
      <c r="F142" t="e">
        <f t="shared" ca="1" si="101"/>
        <v>#N/A</v>
      </c>
      <c r="G142" t="e">
        <f ca="1">SUM($F$117:F142)</f>
        <v>#N/A</v>
      </c>
      <c r="H142" t="e">
        <f t="shared" si="89"/>
        <v>#N/A</v>
      </c>
      <c r="I142" t="e">
        <f t="shared" ca="1" si="90"/>
        <v>#N/A</v>
      </c>
      <c r="J142" t="e">
        <f ca="1">SUM($I$117:I142)</f>
        <v>#N/A</v>
      </c>
      <c r="K142" t="e">
        <f t="shared" ca="1" si="91"/>
        <v>#N/A</v>
      </c>
      <c r="L142" t="e">
        <f t="shared" ca="1" si="92"/>
        <v>#N/A</v>
      </c>
      <c r="M142" s="888">
        <f t="shared" si="102"/>
        <v>0.5</v>
      </c>
      <c r="N142" s="248" t="e">
        <f t="shared" ca="1" si="103"/>
        <v>#N/A</v>
      </c>
      <c r="O142" s="248" t="e">
        <f t="shared" ca="1" si="104"/>
        <v>#N/A</v>
      </c>
      <c r="P142" s="248" t="e">
        <f t="shared" ca="1" si="115"/>
        <v>#N/A</v>
      </c>
      <c r="Q142" s="244" t="e">
        <f ca="1">SUM($P$117:P142)+SUM($V$117:V142)</f>
        <v>#N/A</v>
      </c>
      <c r="R142" s="407" t="e">
        <f t="shared" ref="R142:R196" ca="1" si="118">ROUND((O117*$AX$46)+(O118*$AX$45)+(O119*$AX$44)+(O120*$AX$43)+(O121*$AX$42)+(O122*$AX$41)+(O123*$AX$40)+(O124*$AX$39)+(O125*$AX$38)+(O126*$AX$37)+(O127*$AX$36)+(O128*$AX$35)+(O129*$AX$34)+(O130*$AX$33)+(O131*$AX$32)+(O132*$AX$31)+(O133*$AX$30)+(O134*$AX$29)+(O135*$AX$28)+(O136*$AX$27),0)</f>
        <v>#N/A</v>
      </c>
      <c r="S142" s="248" t="e">
        <f ca="1">SUM($R$117:R142)</f>
        <v>#N/A</v>
      </c>
      <c r="T142" s="407" t="e">
        <f t="shared" ref="T142:T196" ca="1" si="119">ROUND((P117*$AX$46)+(P118*$AX$45)+(P119*$AX$44)+(P120*$AX$43)+(P121*$AX$42)+(P122*$AX$41)+(P123*$AX$40)+(P124*$AX$39)+(P125*$AX$38)+(P126*$AX$37)+(P127*$AX$36)+(P128*$AX$35)+(P129*$AX$34)+(P130*$AX$33)+(P131*$AX$32)+(P132*$AX$31)+(P133*$AX$30)+(P134*$AX$29)+(P135*$AX$28)+(P136*$AX$27),0)</f>
        <v>#N/A</v>
      </c>
      <c r="U142" s="244" t="e">
        <f ca="1">SUM($T$117:T142)</f>
        <v>#N/A</v>
      </c>
      <c r="V142" t="e">
        <f t="shared" ca="1" si="105"/>
        <v>#N/A</v>
      </c>
      <c r="W142" s="75" t="e">
        <f ca="1">SUM($V$117:V142)</f>
        <v>#N/A</v>
      </c>
      <c r="X142" s="78" t="e">
        <f t="shared" ca="1" si="93"/>
        <v>#N/A</v>
      </c>
      <c r="Y142" t="e">
        <f t="shared" si="94"/>
        <v>#N/A</v>
      </c>
      <c r="Z142" t="e">
        <f t="shared" ca="1" si="95"/>
        <v>#N/A</v>
      </c>
      <c r="AA142" s="75" t="e">
        <f ca="1">SUM($Z$117:Z142)</f>
        <v>#N/A</v>
      </c>
      <c r="AB142" t="e">
        <f t="shared" ca="1" si="96"/>
        <v>#N/A</v>
      </c>
      <c r="AC142" s="78" t="e">
        <f ca="1">SUM($AB$117:AB142)</f>
        <v>#N/A</v>
      </c>
      <c r="AD142" t="e">
        <f t="shared" ca="1" si="97"/>
        <v>#N/A</v>
      </c>
      <c r="AE142" t="e">
        <f t="shared" ca="1" si="98"/>
        <v>#N/A</v>
      </c>
      <c r="AF142" t="e">
        <f t="shared" ca="1" si="99"/>
        <v>#N/A</v>
      </c>
      <c r="AG142" t="e">
        <f t="shared" ca="1" si="116"/>
        <v>#N/A</v>
      </c>
      <c r="AH142" t="e">
        <f t="shared" ca="1" si="106"/>
        <v>#N/A</v>
      </c>
      <c r="AI142" t="e">
        <f t="shared" ca="1" si="107"/>
        <v>#N/A</v>
      </c>
      <c r="AJ142" t="e">
        <f ca="1">SUM($AI$117:AI142)</f>
        <v>#N/A</v>
      </c>
      <c r="AK142" t="e">
        <f t="shared" ca="1" si="114"/>
        <v>#N/A</v>
      </c>
      <c r="AL142" t="e">
        <f ca="1">SUM($AK$117:AK142)</f>
        <v>#N/A</v>
      </c>
      <c r="AM142" s="407" t="e">
        <f t="shared" ref="AM142:AM173" ca="1" si="120">ROUND((AE117*$AX$46)+(AE118*$AX$45)+(AE119*$AX$44)+(AE120*$AX$43)+(AE121*$AX$42)+(AE122*$AX$41)+(AE123*$AX$40)+(AE124*$AX$39)+(AE125*$AX$38)+(AE126*$AX$37)+(AE127*$AX$36)+(AE128*$AX$35)+(AE129*$AX$34)+(AE130*$AX$33)+(AE131*$AX$32)+(AE132*$AX$31)+(AE133*$AX$30)+(AE134*$AX$29)+(AE135*$AX$28)+(AE136*$AX$27),0)</f>
        <v>#N/A</v>
      </c>
      <c r="AN142" s="248" t="e">
        <f ca="1">SUM($T$117:T142)+SUM($AM$117:AM142)</f>
        <v>#N/A</v>
      </c>
      <c r="AO142" t="e">
        <f t="shared" ca="1" si="117"/>
        <v>#N/A</v>
      </c>
      <c r="AP142" t="e">
        <f ca="1">SUM($AO$117:AO142)</f>
        <v>#N/A</v>
      </c>
      <c r="AQ142" t="e">
        <f t="shared" ca="1" si="108"/>
        <v>#N/A</v>
      </c>
      <c r="AR142" t="e">
        <f t="shared" ca="1" si="100"/>
        <v>#N/A</v>
      </c>
      <c r="AS142" s="882" t="e">
        <f ca="1">IF(J142-Q142-S142&lt;0,0,J142-Q142-S142)</f>
        <v>#N/A</v>
      </c>
      <c r="AT142" s="882" t="e">
        <f ca="1">IF(Q142+AA142-AJ142-AN142&lt;0,0,IF(AND(AO142=0,AO141=1),0,Q142+AA142-AJ142-AN142))</f>
        <v>#N/A</v>
      </c>
      <c r="AU142" t="e">
        <f t="shared" ca="1" si="111"/>
        <v>#N/A</v>
      </c>
    </row>
    <row r="143" spans="2:50" x14ac:dyDescent="0.25">
      <c r="B143" s="105">
        <f t="shared" si="112"/>
        <v>26</v>
      </c>
      <c r="C143">
        <v>27</v>
      </c>
      <c r="D143" s="78" t="e">
        <f ca="1">'PEP Impact Model'!J45</f>
        <v>#N/A</v>
      </c>
      <c r="E143" s="78" t="e">
        <f t="shared" ca="1" si="113"/>
        <v>#N/A</v>
      </c>
      <c r="F143" t="e">
        <f t="shared" ca="1" si="101"/>
        <v>#N/A</v>
      </c>
      <c r="G143" t="e">
        <f ca="1">SUM($F$117:F143)</f>
        <v>#N/A</v>
      </c>
      <c r="H143" t="e">
        <f t="shared" si="89"/>
        <v>#N/A</v>
      </c>
      <c r="I143" t="e">
        <f t="shared" ca="1" si="90"/>
        <v>#N/A</v>
      </c>
      <c r="J143" t="e">
        <f ca="1">SUM($I$117:I143)</f>
        <v>#N/A</v>
      </c>
      <c r="K143" t="e">
        <f t="shared" ca="1" si="91"/>
        <v>#N/A</v>
      </c>
      <c r="L143" t="e">
        <f t="shared" ca="1" si="92"/>
        <v>#N/A</v>
      </c>
      <c r="M143" s="888">
        <f t="shared" si="102"/>
        <v>0.5</v>
      </c>
      <c r="N143" s="248" t="e">
        <f t="shared" ca="1" si="103"/>
        <v>#N/A</v>
      </c>
      <c r="O143" s="248" t="e">
        <f t="shared" ca="1" si="104"/>
        <v>#N/A</v>
      </c>
      <c r="P143" s="248" t="e">
        <f t="shared" ca="1" si="115"/>
        <v>#N/A</v>
      </c>
      <c r="Q143" s="244" t="e">
        <f ca="1">SUM($P$117:P143)+SUM($V$117:V143)</f>
        <v>#N/A</v>
      </c>
      <c r="R143" s="244" t="e">
        <f t="shared" ca="1" si="118"/>
        <v>#N/A</v>
      </c>
      <c r="S143" s="248" t="e">
        <f ca="1">SUM($R$117:R143)</f>
        <v>#N/A</v>
      </c>
      <c r="T143" s="244" t="e">
        <f t="shared" ca="1" si="119"/>
        <v>#N/A</v>
      </c>
      <c r="U143" s="244" t="e">
        <f ca="1">SUM($T$117:T143)</f>
        <v>#N/A</v>
      </c>
      <c r="V143" t="e">
        <f t="shared" ca="1" si="105"/>
        <v>#N/A</v>
      </c>
      <c r="W143" s="75" t="e">
        <f ca="1">SUM($V$117:V143)</f>
        <v>#N/A</v>
      </c>
      <c r="X143" s="78" t="e">
        <f t="shared" ca="1" si="93"/>
        <v>#N/A</v>
      </c>
      <c r="Y143" t="e">
        <f t="shared" si="94"/>
        <v>#N/A</v>
      </c>
      <c r="Z143" t="e">
        <f t="shared" ca="1" si="95"/>
        <v>#N/A</v>
      </c>
      <c r="AA143" s="75" t="e">
        <f ca="1">SUM($Z$117:Z143)</f>
        <v>#N/A</v>
      </c>
      <c r="AB143" t="e">
        <f t="shared" ca="1" si="96"/>
        <v>#N/A</v>
      </c>
      <c r="AC143" s="78" t="e">
        <f ca="1">SUM($AB$117:AB143)</f>
        <v>#N/A</v>
      </c>
      <c r="AD143" t="e">
        <f t="shared" ca="1" si="97"/>
        <v>#N/A</v>
      </c>
      <c r="AE143" t="e">
        <f t="shared" ca="1" si="98"/>
        <v>#N/A</v>
      </c>
      <c r="AF143" t="e">
        <f t="shared" ca="1" si="99"/>
        <v>#N/A</v>
      </c>
      <c r="AG143" t="e">
        <f t="shared" ca="1" si="116"/>
        <v>#N/A</v>
      </c>
      <c r="AH143" t="e">
        <f t="shared" ca="1" si="106"/>
        <v>#N/A</v>
      </c>
      <c r="AI143" t="e">
        <f t="shared" ca="1" si="107"/>
        <v>#N/A</v>
      </c>
      <c r="AJ143" t="e">
        <f ca="1">SUM($AI$117:AI143)</f>
        <v>#N/A</v>
      </c>
      <c r="AK143" t="e">
        <f t="shared" ca="1" si="114"/>
        <v>#N/A</v>
      </c>
      <c r="AL143" t="e">
        <f ca="1">SUM($AK$117:AK143)</f>
        <v>#N/A</v>
      </c>
      <c r="AM143" s="244" t="e">
        <f t="shared" ca="1" si="120"/>
        <v>#N/A</v>
      </c>
      <c r="AN143" s="248" t="e">
        <f ca="1">SUM($T$117:T143)+SUM($AM$117:AM143)</f>
        <v>#N/A</v>
      </c>
      <c r="AO143" t="e">
        <f t="shared" ca="1" si="117"/>
        <v>#N/A</v>
      </c>
      <c r="AP143" t="e">
        <f ca="1">SUM($AO$117:AO143)</f>
        <v>#N/A</v>
      </c>
      <c r="AQ143" t="e">
        <f t="shared" ca="1" si="108"/>
        <v>#N/A</v>
      </c>
      <c r="AR143" t="e">
        <f t="shared" ca="1" si="100"/>
        <v>#N/A</v>
      </c>
      <c r="AS143" t="e">
        <f ca="1">IF(J143-Q143-S143&lt;AO143,AO143,IF(OR(AND(AO143=0,AO142=1),AND(AO143=0,AO142=0)),0,J143-Q143-S143))</f>
        <v>#N/A</v>
      </c>
      <c r="AT143" t="e">
        <f ca="1">IF(Q143+AA143-AJ143-AN143&lt;AO143,AO143,IF(OR(AND(AO143=0,AO142=1),AND(AO143=0,AO142=0)),0,Q143+AA143-AJ143-AN143))</f>
        <v>#N/A</v>
      </c>
      <c r="AU143" t="e">
        <f t="shared" ca="1" si="111"/>
        <v>#N/A</v>
      </c>
    </row>
    <row r="144" spans="2:50" x14ac:dyDescent="0.25">
      <c r="B144" s="105">
        <f t="shared" si="112"/>
        <v>27</v>
      </c>
      <c r="C144">
        <v>28</v>
      </c>
      <c r="D144" s="78" t="e">
        <f ca="1">'PEP Impact Model'!J46</f>
        <v>#N/A</v>
      </c>
      <c r="E144" s="78" t="e">
        <f t="shared" ca="1" si="113"/>
        <v>#N/A</v>
      </c>
      <c r="F144" t="e">
        <f t="shared" ca="1" si="101"/>
        <v>#N/A</v>
      </c>
      <c r="G144" t="e">
        <f ca="1">SUM($F$117:F144)</f>
        <v>#N/A</v>
      </c>
      <c r="H144" t="e">
        <f t="shared" si="89"/>
        <v>#N/A</v>
      </c>
      <c r="I144" t="e">
        <f t="shared" ca="1" si="90"/>
        <v>#N/A</v>
      </c>
      <c r="J144" t="e">
        <f ca="1">SUM($I$117:I144)</f>
        <v>#N/A</v>
      </c>
      <c r="K144" t="e">
        <f t="shared" ca="1" si="91"/>
        <v>#N/A</v>
      </c>
      <c r="L144" t="e">
        <f t="shared" ca="1" si="92"/>
        <v>#N/A</v>
      </c>
      <c r="M144" s="888">
        <f t="shared" si="102"/>
        <v>0.5</v>
      </c>
      <c r="N144" s="248" t="e">
        <f t="shared" ca="1" si="103"/>
        <v>#N/A</v>
      </c>
      <c r="O144" s="248" t="e">
        <f t="shared" ca="1" si="104"/>
        <v>#N/A</v>
      </c>
      <c r="P144" s="248" t="e">
        <f t="shared" ca="1" si="115"/>
        <v>#N/A</v>
      </c>
      <c r="Q144" s="244" t="e">
        <f ca="1">SUM($P$117:P144)+SUM($V$117:V144)</f>
        <v>#N/A</v>
      </c>
      <c r="R144" s="244" t="e">
        <f t="shared" ca="1" si="118"/>
        <v>#N/A</v>
      </c>
      <c r="S144" s="248" t="e">
        <f ca="1">SUM($R$117:R144)</f>
        <v>#N/A</v>
      </c>
      <c r="T144" s="244" t="e">
        <f ca="1">ROUND((P119*$AX$46)+(P120*$AX$45)+(P121*$AX$44)+(P122*$AX$43)+(P123*$AX$42)+(P124*$AX$41)+(P125*$AX$40)+(P126*$AX$39)+(P127*$AX$38)+(P128*$AX$37)+(P129*$AX$36)+(P130*$AX$35)+(P131*$AX$34)+(P132*$AX$33)+(P133*$AX$32)+(P134*$AX$31)+(P135*$AX$30)+(P136*$AX$29)+(P137*$AX$28)+(P138*$AX$27),0)</f>
        <v>#N/A</v>
      </c>
      <c r="U144" s="244" t="e">
        <f ca="1">SUM($T$117:T144)</f>
        <v>#N/A</v>
      </c>
      <c r="V144" t="e">
        <f t="shared" ca="1" si="105"/>
        <v>#N/A</v>
      </c>
      <c r="W144" s="75" t="e">
        <f ca="1">SUM($V$117:V144)</f>
        <v>#N/A</v>
      </c>
      <c r="X144" s="78" t="e">
        <f t="shared" ca="1" si="93"/>
        <v>#N/A</v>
      </c>
      <c r="Y144" t="e">
        <f t="shared" si="94"/>
        <v>#N/A</v>
      </c>
      <c r="Z144" t="e">
        <f t="shared" ca="1" si="95"/>
        <v>#N/A</v>
      </c>
      <c r="AA144" s="75" t="e">
        <f ca="1">SUM($Z$117:Z144)</f>
        <v>#N/A</v>
      </c>
      <c r="AB144" t="e">
        <f t="shared" ca="1" si="96"/>
        <v>#N/A</v>
      </c>
      <c r="AC144" s="78" t="e">
        <f ca="1">SUM($AB$117:AB144)</f>
        <v>#N/A</v>
      </c>
      <c r="AD144" t="e">
        <f t="shared" ca="1" si="97"/>
        <v>#N/A</v>
      </c>
      <c r="AE144" t="e">
        <f t="shared" ca="1" si="98"/>
        <v>#N/A</v>
      </c>
      <c r="AF144" t="e">
        <f t="shared" ca="1" si="99"/>
        <v>#N/A</v>
      </c>
      <c r="AG144" t="e">
        <f t="shared" ca="1" si="116"/>
        <v>#N/A</v>
      </c>
      <c r="AH144" t="e">
        <f t="shared" ca="1" si="106"/>
        <v>#N/A</v>
      </c>
      <c r="AI144" t="e">
        <f t="shared" ca="1" si="107"/>
        <v>#N/A</v>
      </c>
      <c r="AJ144" t="e">
        <f ca="1">SUM($AI$117:AI144)</f>
        <v>#N/A</v>
      </c>
      <c r="AK144" t="e">
        <f t="shared" ca="1" si="114"/>
        <v>#N/A</v>
      </c>
      <c r="AL144" t="e">
        <f ca="1">SUM($AK$117:AK144)</f>
        <v>#N/A</v>
      </c>
      <c r="AM144" s="244" t="e">
        <f t="shared" ca="1" si="120"/>
        <v>#N/A</v>
      </c>
      <c r="AN144" s="248" t="e">
        <f ca="1">SUM($T$117:T144)+SUM($AM$117:AM144)</f>
        <v>#N/A</v>
      </c>
      <c r="AO144" t="e">
        <f t="shared" ca="1" si="117"/>
        <v>#N/A</v>
      </c>
      <c r="AP144" t="e">
        <f ca="1">SUM($AO$117:AO144)</f>
        <v>#N/A</v>
      </c>
      <c r="AQ144" t="e">
        <f t="shared" ca="1" si="108"/>
        <v>#N/A</v>
      </c>
      <c r="AR144" t="e">
        <f t="shared" ca="1" si="100"/>
        <v>#N/A</v>
      </c>
      <c r="AS144" t="e">
        <f t="shared" ref="AS144:AS196" ca="1" si="121">IF(J144-Q144-S144&lt;AO144,AO144,IF(OR(AND(AO144=0,AO143=1),AND(AO144=0,AO143=0)),0,J144-Q144-S144))</f>
        <v>#N/A</v>
      </c>
      <c r="AT144" t="e">
        <f t="shared" ref="AT144:AT196" ca="1" si="122">IF(Q144+AA144-AJ144-AN144&lt;AO144,AO144,IF(OR(AND(AO144=0,AO143=1),AND(AO144=0,AO143=0)),0,Q144+AA144-AJ144-AN144))</f>
        <v>#N/A</v>
      </c>
      <c r="AU144" t="e">
        <f t="shared" ca="1" si="111"/>
        <v>#N/A</v>
      </c>
    </row>
    <row r="145" spans="2:47" x14ac:dyDescent="0.25">
      <c r="B145" s="105">
        <f t="shared" si="112"/>
        <v>28</v>
      </c>
      <c r="C145">
        <v>29</v>
      </c>
      <c r="D145" s="78" t="e">
        <f ca="1">'PEP Impact Model'!J47</f>
        <v>#N/A</v>
      </c>
      <c r="E145" s="78" t="e">
        <f t="shared" ca="1" si="113"/>
        <v>#N/A</v>
      </c>
      <c r="F145" t="e">
        <f t="shared" ca="1" si="101"/>
        <v>#N/A</v>
      </c>
      <c r="G145" t="e">
        <f ca="1">SUM($F$117:F145)</f>
        <v>#N/A</v>
      </c>
      <c r="H145" t="e">
        <f t="shared" si="89"/>
        <v>#N/A</v>
      </c>
      <c r="I145" t="e">
        <f t="shared" ca="1" si="90"/>
        <v>#N/A</v>
      </c>
      <c r="J145" t="e">
        <f ca="1">SUM($I$117:I145)</f>
        <v>#N/A</v>
      </c>
      <c r="K145" t="e">
        <f t="shared" ca="1" si="91"/>
        <v>#N/A</v>
      </c>
      <c r="L145" t="e">
        <f t="shared" ca="1" si="92"/>
        <v>#N/A</v>
      </c>
      <c r="M145" s="888">
        <f t="shared" si="102"/>
        <v>0.5</v>
      </c>
      <c r="N145" s="248" t="e">
        <f t="shared" ca="1" si="103"/>
        <v>#N/A</v>
      </c>
      <c r="O145" s="248" t="e">
        <f t="shared" ca="1" si="104"/>
        <v>#N/A</v>
      </c>
      <c r="P145" s="248" t="e">
        <f t="shared" ca="1" si="115"/>
        <v>#N/A</v>
      </c>
      <c r="Q145" s="244" t="e">
        <f ca="1">SUM($P$117:P145)+SUM($V$117:V145)</f>
        <v>#N/A</v>
      </c>
      <c r="R145" s="244" t="e">
        <f t="shared" ca="1" si="118"/>
        <v>#N/A</v>
      </c>
      <c r="S145" s="248" t="e">
        <f ca="1">SUM($R$117:R145)</f>
        <v>#N/A</v>
      </c>
      <c r="T145" s="244" t="e">
        <f t="shared" ca="1" si="119"/>
        <v>#N/A</v>
      </c>
      <c r="U145" s="244" t="e">
        <f ca="1">SUM($T$117:T145)</f>
        <v>#N/A</v>
      </c>
      <c r="V145" t="e">
        <f t="shared" ca="1" si="105"/>
        <v>#N/A</v>
      </c>
      <c r="W145" s="75" t="e">
        <f ca="1">SUM($V$117:V145)</f>
        <v>#N/A</v>
      </c>
      <c r="X145" s="78" t="e">
        <f t="shared" ca="1" si="93"/>
        <v>#N/A</v>
      </c>
      <c r="Y145" t="e">
        <f t="shared" si="94"/>
        <v>#N/A</v>
      </c>
      <c r="Z145" t="e">
        <f t="shared" ca="1" si="95"/>
        <v>#N/A</v>
      </c>
      <c r="AA145" s="75" t="e">
        <f ca="1">SUM($Z$117:Z145)</f>
        <v>#N/A</v>
      </c>
      <c r="AB145" t="e">
        <f t="shared" ca="1" si="96"/>
        <v>#N/A</v>
      </c>
      <c r="AC145" s="78" t="e">
        <f ca="1">SUM($AB$117:AB145)</f>
        <v>#N/A</v>
      </c>
      <c r="AD145" t="e">
        <f t="shared" ca="1" si="97"/>
        <v>#N/A</v>
      </c>
      <c r="AE145" t="e">
        <f t="shared" ca="1" si="98"/>
        <v>#N/A</v>
      </c>
      <c r="AF145" t="e">
        <f t="shared" ca="1" si="99"/>
        <v>#N/A</v>
      </c>
      <c r="AG145" t="e">
        <f t="shared" ca="1" si="116"/>
        <v>#N/A</v>
      </c>
      <c r="AH145" t="e">
        <f t="shared" ca="1" si="106"/>
        <v>#N/A</v>
      </c>
      <c r="AI145" t="e">
        <f t="shared" ca="1" si="107"/>
        <v>#N/A</v>
      </c>
      <c r="AJ145" t="e">
        <f ca="1">SUM($AI$117:AI145)</f>
        <v>#N/A</v>
      </c>
      <c r="AK145" t="e">
        <f t="shared" ca="1" si="114"/>
        <v>#N/A</v>
      </c>
      <c r="AL145" t="e">
        <f ca="1">SUM($AK$117:AK145)</f>
        <v>#N/A</v>
      </c>
      <c r="AM145" s="244" t="e">
        <f t="shared" ca="1" si="120"/>
        <v>#N/A</v>
      </c>
      <c r="AN145" s="248" t="e">
        <f ca="1">SUM($T$117:T145)+SUM($AM$117:AM145)</f>
        <v>#N/A</v>
      </c>
      <c r="AO145" t="e">
        <f t="shared" ca="1" si="117"/>
        <v>#N/A</v>
      </c>
      <c r="AP145" t="e">
        <f ca="1">SUM($AO$117:AO145)</f>
        <v>#N/A</v>
      </c>
      <c r="AQ145" t="e">
        <f t="shared" ca="1" si="108"/>
        <v>#N/A</v>
      </c>
      <c r="AR145" t="e">
        <f t="shared" ca="1" si="100"/>
        <v>#N/A</v>
      </c>
      <c r="AS145" t="e">
        <f t="shared" ca="1" si="121"/>
        <v>#N/A</v>
      </c>
      <c r="AT145" t="e">
        <f t="shared" ca="1" si="122"/>
        <v>#N/A</v>
      </c>
      <c r="AU145" t="e">
        <f t="shared" ca="1" si="111"/>
        <v>#N/A</v>
      </c>
    </row>
    <row r="146" spans="2:47" x14ac:dyDescent="0.25">
      <c r="B146" s="105">
        <f t="shared" si="112"/>
        <v>29</v>
      </c>
      <c r="C146">
        <v>30</v>
      </c>
      <c r="D146" s="78" t="e">
        <f ca="1">'PEP Impact Model'!J48</f>
        <v>#N/A</v>
      </c>
      <c r="E146" s="78" t="e">
        <f t="shared" ca="1" si="113"/>
        <v>#N/A</v>
      </c>
      <c r="F146" t="e">
        <f t="shared" ca="1" si="101"/>
        <v>#N/A</v>
      </c>
      <c r="G146" t="e">
        <f ca="1">SUM($F$117:F146)</f>
        <v>#N/A</v>
      </c>
      <c r="H146" t="e">
        <f t="shared" si="89"/>
        <v>#N/A</v>
      </c>
      <c r="I146" t="e">
        <f t="shared" ca="1" si="90"/>
        <v>#N/A</v>
      </c>
      <c r="J146" t="e">
        <f ca="1">SUM($I$117:I146)</f>
        <v>#N/A</v>
      </c>
      <c r="K146" t="e">
        <f t="shared" ca="1" si="91"/>
        <v>#N/A</v>
      </c>
      <c r="L146" t="e">
        <f t="shared" ca="1" si="92"/>
        <v>#N/A</v>
      </c>
      <c r="M146" s="888">
        <f t="shared" si="102"/>
        <v>0.5</v>
      </c>
      <c r="N146" s="248" t="e">
        <f t="shared" ca="1" si="103"/>
        <v>#N/A</v>
      </c>
      <c r="O146" s="248" t="e">
        <f t="shared" ca="1" si="104"/>
        <v>#N/A</v>
      </c>
      <c r="P146" s="248" t="e">
        <f t="shared" ca="1" si="115"/>
        <v>#N/A</v>
      </c>
      <c r="Q146" s="244" t="e">
        <f ca="1">SUM($P$117:P146)+SUM($V$117:V146)</f>
        <v>#N/A</v>
      </c>
      <c r="R146" s="244" t="e">
        <f t="shared" ca="1" si="118"/>
        <v>#N/A</v>
      </c>
      <c r="S146" s="248" t="e">
        <f ca="1">SUM($R$117:R146)</f>
        <v>#N/A</v>
      </c>
      <c r="T146" s="244" t="e">
        <f t="shared" ca="1" si="119"/>
        <v>#N/A</v>
      </c>
      <c r="U146" s="244" t="e">
        <f ca="1">SUM($T$117:T146)</f>
        <v>#N/A</v>
      </c>
      <c r="V146" t="e">
        <f t="shared" ca="1" si="105"/>
        <v>#N/A</v>
      </c>
      <c r="W146" s="75" t="e">
        <f ca="1">SUM($V$117:V146)</f>
        <v>#N/A</v>
      </c>
      <c r="X146" s="78" t="e">
        <f t="shared" ca="1" si="93"/>
        <v>#N/A</v>
      </c>
      <c r="Y146" t="e">
        <f t="shared" si="94"/>
        <v>#N/A</v>
      </c>
      <c r="Z146" t="e">
        <f t="shared" ca="1" si="95"/>
        <v>#N/A</v>
      </c>
      <c r="AA146" s="75" t="e">
        <f ca="1">SUM($Z$117:Z146)</f>
        <v>#N/A</v>
      </c>
      <c r="AB146" t="e">
        <f t="shared" ca="1" si="96"/>
        <v>#N/A</v>
      </c>
      <c r="AC146" s="78" t="e">
        <f ca="1">SUM($AB$117:AB146)</f>
        <v>#N/A</v>
      </c>
      <c r="AD146" t="e">
        <f t="shared" ca="1" si="97"/>
        <v>#N/A</v>
      </c>
      <c r="AE146" t="e">
        <f t="shared" ca="1" si="98"/>
        <v>#N/A</v>
      </c>
      <c r="AF146" t="e">
        <f t="shared" ca="1" si="99"/>
        <v>#N/A</v>
      </c>
      <c r="AG146" t="e">
        <f t="shared" ca="1" si="116"/>
        <v>#N/A</v>
      </c>
      <c r="AH146" t="e">
        <f t="shared" ca="1" si="106"/>
        <v>#N/A</v>
      </c>
      <c r="AI146" t="e">
        <f t="shared" ca="1" si="107"/>
        <v>#N/A</v>
      </c>
      <c r="AJ146" t="e">
        <f ca="1">SUM($AI$117:AI146)</f>
        <v>#N/A</v>
      </c>
      <c r="AK146" t="e">
        <f t="shared" ca="1" si="114"/>
        <v>#N/A</v>
      </c>
      <c r="AL146" t="e">
        <f ca="1">SUM($AK$117:AK146)</f>
        <v>#N/A</v>
      </c>
      <c r="AM146" s="244" t="e">
        <f t="shared" ca="1" si="120"/>
        <v>#N/A</v>
      </c>
      <c r="AN146" s="248" t="e">
        <f ca="1">SUM($T$117:T146)+SUM($AM$117:AM146)</f>
        <v>#N/A</v>
      </c>
      <c r="AO146" t="e">
        <f t="shared" ca="1" si="117"/>
        <v>#N/A</v>
      </c>
      <c r="AP146" t="e">
        <f ca="1">SUM($AO$117:AO146)</f>
        <v>#N/A</v>
      </c>
      <c r="AQ146" t="e">
        <f t="shared" ca="1" si="108"/>
        <v>#N/A</v>
      </c>
      <c r="AR146" t="e">
        <f t="shared" ca="1" si="100"/>
        <v>#N/A</v>
      </c>
      <c r="AS146" t="e">
        <f t="shared" ca="1" si="121"/>
        <v>#N/A</v>
      </c>
      <c r="AT146" t="e">
        <f t="shared" ca="1" si="122"/>
        <v>#N/A</v>
      </c>
      <c r="AU146" t="e">
        <f t="shared" ca="1" si="111"/>
        <v>#N/A</v>
      </c>
    </row>
    <row r="147" spans="2:47" x14ac:dyDescent="0.25">
      <c r="B147" s="105">
        <f t="shared" si="112"/>
        <v>30</v>
      </c>
      <c r="C147">
        <v>31</v>
      </c>
      <c r="D147" s="78" t="e">
        <f ca="1">'PEP Impact Model'!J49</f>
        <v>#N/A</v>
      </c>
      <c r="E147" s="78" t="e">
        <f t="shared" ca="1" si="113"/>
        <v>#N/A</v>
      </c>
      <c r="F147" t="e">
        <f t="shared" ca="1" si="101"/>
        <v>#N/A</v>
      </c>
      <c r="G147" t="e">
        <f ca="1">SUM($F$117:F147)</f>
        <v>#N/A</v>
      </c>
      <c r="H147" t="e">
        <f t="shared" si="89"/>
        <v>#N/A</v>
      </c>
      <c r="I147" t="e">
        <f t="shared" ca="1" si="90"/>
        <v>#N/A</v>
      </c>
      <c r="J147" t="e">
        <f ca="1">SUM($I$117:I147)</f>
        <v>#N/A</v>
      </c>
      <c r="K147" t="e">
        <f t="shared" ca="1" si="91"/>
        <v>#N/A</v>
      </c>
      <c r="L147" t="e">
        <f t="shared" ca="1" si="92"/>
        <v>#N/A</v>
      </c>
      <c r="M147" s="888">
        <f t="shared" si="102"/>
        <v>0.5</v>
      </c>
      <c r="N147" s="248" t="e">
        <f t="shared" ca="1" si="103"/>
        <v>#N/A</v>
      </c>
      <c r="O147" s="248" t="e">
        <f t="shared" ca="1" si="104"/>
        <v>#N/A</v>
      </c>
      <c r="P147" s="248" t="e">
        <f t="shared" ca="1" si="115"/>
        <v>#N/A</v>
      </c>
      <c r="Q147" s="244" t="e">
        <f ca="1">SUM($P$117:P147)+SUM($V$117:V147)</f>
        <v>#N/A</v>
      </c>
      <c r="R147" s="244" t="e">
        <f t="shared" ca="1" si="118"/>
        <v>#N/A</v>
      </c>
      <c r="S147" s="248" t="e">
        <f ca="1">SUM($R$117:R147)</f>
        <v>#N/A</v>
      </c>
      <c r="T147" s="244" t="e">
        <f t="shared" ca="1" si="119"/>
        <v>#N/A</v>
      </c>
      <c r="U147" s="244" t="e">
        <f ca="1">SUM($T$117:T147)</f>
        <v>#N/A</v>
      </c>
      <c r="V147" t="e">
        <f t="shared" ca="1" si="105"/>
        <v>#N/A</v>
      </c>
      <c r="W147" s="75" t="e">
        <f ca="1">SUM($V$117:V147)</f>
        <v>#N/A</v>
      </c>
      <c r="X147" s="78" t="e">
        <f t="shared" ca="1" si="93"/>
        <v>#N/A</v>
      </c>
      <c r="Y147" t="e">
        <f t="shared" si="94"/>
        <v>#N/A</v>
      </c>
      <c r="Z147" t="e">
        <f t="shared" ca="1" si="95"/>
        <v>#N/A</v>
      </c>
      <c r="AA147" s="75" t="e">
        <f ca="1">SUM($Z$117:Z147)</f>
        <v>#N/A</v>
      </c>
      <c r="AB147" t="e">
        <f t="shared" ca="1" si="96"/>
        <v>#N/A</v>
      </c>
      <c r="AC147" s="78" t="e">
        <f ca="1">SUM($AB$117:AB147)</f>
        <v>#N/A</v>
      </c>
      <c r="AD147" t="e">
        <f t="shared" ca="1" si="97"/>
        <v>#N/A</v>
      </c>
      <c r="AE147" t="e">
        <f t="shared" ca="1" si="98"/>
        <v>#N/A</v>
      </c>
      <c r="AF147" t="e">
        <f t="shared" ca="1" si="99"/>
        <v>#N/A</v>
      </c>
      <c r="AG147" t="e">
        <f t="shared" ca="1" si="116"/>
        <v>#N/A</v>
      </c>
      <c r="AH147" t="e">
        <f t="shared" ca="1" si="106"/>
        <v>#N/A</v>
      </c>
      <c r="AI147" t="e">
        <f t="shared" ca="1" si="107"/>
        <v>#N/A</v>
      </c>
      <c r="AJ147" t="e">
        <f ca="1">SUM($AI$117:AI147)</f>
        <v>#N/A</v>
      </c>
      <c r="AK147" t="e">
        <f t="shared" ca="1" si="114"/>
        <v>#N/A</v>
      </c>
      <c r="AL147" t="e">
        <f ca="1">SUM($AK$117:AK147)</f>
        <v>#N/A</v>
      </c>
      <c r="AM147" s="244" t="e">
        <f t="shared" ca="1" si="120"/>
        <v>#N/A</v>
      </c>
      <c r="AN147" s="248" t="e">
        <f ca="1">SUM($T$117:T147)+SUM($AM$117:AM147)</f>
        <v>#N/A</v>
      </c>
      <c r="AO147" t="e">
        <f t="shared" ca="1" si="117"/>
        <v>#N/A</v>
      </c>
      <c r="AP147" t="e">
        <f ca="1">SUM($AO$117:AO147)</f>
        <v>#N/A</v>
      </c>
      <c r="AQ147" t="e">
        <f t="shared" ca="1" si="108"/>
        <v>#N/A</v>
      </c>
      <c r="AR147" t="e">
        <f t="shared" ca="1" si="100"/>
        <v>#N/A</v>
      </c>
      <c r="AS147" t="e">
        <f t="shared" ca="1" si="121"/>
        <v>#N/A</v>
      </c>
      <c r="AT147" t="e">
        <f t="shared" ca="1" si="122"/>
        <v>#N/A</v>
      </c>
      <c r="AU147" t="e">
        <f t="shared" ca="1" si="111"/>
        <v>#N/A</v>
      </c>
    </row>
    <row r="148" spans="2:47" x14ac:dyDescent="0.25">
      <c r="B148" s="105">
        <f t="shared" si="112"/>
        <v>31</v>
      </c>
      <c r="C148">
        <v>32</v>
      </c>
      <c r="D148" s="78" t="e">
        <f ca="1">'PEP Impact Model'!J50</f>
        <v>#N/A</v>
      </c>
      <c r="E148" s="78" t="e">
        <f t="shared" ca="1" si="113"/>
        <v>#N/A</v>
      </c>
      <c r="F148" t="e">
        <f t="shared" ca="1" si="101"/>
        <v>#N/A</v>
      </c>
      <c r="G148" t="e">
        <f ca="1">SUM($F$117:F148)</f>
        <v>#N/A</v>
      </c>
      <c r="H148" t="e">
        <f t="shared" si="89"/>
        <v>#N/A</v>
      </c>
      <c r="I148" t="e">
        <f t="shared" ca="1" si="90"/>
        <v>#N/A</v>
      </c>
      <c r="J148" t="e">
        <f ca="1">SUM($I$117:I148)</f>
        <v>#N/A</v>
      </c>
      <c r="K148" t="e">
        <f t="shared" ca="1" si="91"/>
        <v>#N/A</v>
      </c>
      <c r="L148" t="e">
        <f t="shared" ca="1" si="92"/>
        <v>#N/A</v>
      </c>
      <c r="M148" s="888">
        <f t="shared" si="102"/>
        <v>0.5</v>
      </c>
      <c r="N148" s="248" t="e">
        <f t="shared" ca="1" si="103"/>
        <v>#N/A</v>
      </c>
      <c r="O148" s="248" t="e">
        <f t="shared" ca="1" si="104"/>
        <v>#N/A</v>
      </c>
      <c r="P148" s="248" t="e">
        <f t="shared" ca="1" si="115"/>
        <v>#N/A</v>
      </c>
      <c r="Q148" s="244" t="e">
        <f ca="1">SUM($P$117:P148)+SUM($V$117:V148)</f>
        <v>#N/A</v>
      </c>
      <c r="R148" s="244" t="e">
        <f ca="1">ROUND((O123*$AX$46)+(O124*$AX$45)+(O125*$AX$44)+(O126*$AX$43)+(O127*$AX$42)+(O128*$AX$41)+(O129*$AX$40)+(O130*$AX$39)+(O131*$AX$38)+(O132*$AX$37)+(O133*$AX$36)+(O134*$AX$35)+(O135*$AX$34)+(O136*$AX$33)+(O137*$AX$32)+(O138*$AX$31)+(O139*$AX$30)+(O140*$AX$29)+(O141*$AX$28)+(O142*$AX$27),0)</f>
        <v>#N/A</v>
      </c>
      <c r="S148" s="248" t="e">
        <f ca="1">SUM($R$117:R148)</f>
        <v>#N/A</v>
      </c>
      <c r="T148" s="244" t="e">
        <f t="shared" ca="1" si="119"/>
        <v>#N/A</v>
      </c>
      <c r="U148" s="244" t="e">
        <f ca="1">SUM($T$117:T148)</f>
        <v>#N/A</v>
      </c>
      <c r="V148" t="e">
        <f t="shared" ca="1" si="105"/>
        <v>#N/A</v>
      </c>
      <c r="W148" s="75" t="e">
        <f ca="1">SUM($V$117:V148)</f>
        <v>#N/A</v>
      </c>
      <c r="X148" s="78" t="e">
        <f t="shared" ca="1" si="93"/>
        <v>#N/A</v>
      </c>
      <c r="Y148" t="e">
        <f t="shared" si="94"/>
        <v>#N/A</v>
      </c>
      <c r="Z148" t="e">
        <f t="shared" ca="1" si="95"/>
        <v>#N/A</v>
      </c>
      <c r="AA148" s="75" t="e">
        <f ca="1">SUM($Z$117:Z148)</f>
        <v>#N/A</v>
      </c>
      <c r="AB148" t="e">
        <f t="shared" ca="1" si="96"/>
        <v>#N/A</v>
      </c>
      <c r="AC148" s="78" t="e">
        <f ca="1">SUM($AB$117:AB148)</f>
        <v>#N/A</v>
      </c>
      <c r="AD148" t="e">
        <f t="shared" ca="1" si="97"/>
        <v>#N/A</v>
      </c>
      <c r="AE148" t="e">
        <f t="shared" ca="1" si="98"/>
        <v>#N/A</v>
      </c>
      <c r="AF148" t="e">
        <f t="shared" ca="1" si="99"/>
        <v>#N/A</v>
      </c>
      <c r="AG148" t="e">
        <f t="shared" ca="1" si="116"/>
        <v>#N/A</v>
      </c>
      <c r="AH148" t="e">
        <f t="shared" ca="1" si="106"/>
        <v>#N/A</v>
      </c>
      <c r="AI148" t="e">
        <f t="shared" ca="1" si="107"/>
        <v>#N/A</v>
      </c>
      <c r="AJ148" t="e">
        <f ca="1">SUM($AI$117:AI148)</f>
        <v>#N/A</v>
      </c>
      <c r="AK148" t="e">
        <f t="shared" ca="1" si="114"/>
        <v>#N/A</v>
      </c>
      <c r="AL148" t="e">
        <f ca="1">SUM($AK$117:AK148)</f>
        <v>#N/A</v>
      </c>
      <c r="AM148" s="244" t="e">
        <f t="shared" ca="1" si="120"/>
        <v>#N/A</v>
      </c>
      <c r="AN148" s="248" t="e">
        <f ca="1">SUM($T$117:T148)+SUM($AM$117:AM148)</f>
        <v>#N/A</v>
      </c>
      <c r="AO148" t="e">
        <f t="shared" ca="1" si="117"/>
        <v>#N/A</v>
      </c>
      <c r="AP148" t="e">
        <f ca="1">SUM($AO$117:AO148)</f>
        <v>#N/A</v>
      </c>
      <c r="AQ148" t="e">
        <f t="shared" ca="1" si="108"/>
        <v>#N/A</v>
      </c>
      <c r="AR148" t="e">
        <f t="shared" ca="1" si="100"/>
        <v>#N/A</v>
      </c>
      <c r="AS148" t="e">
        <f t="shared" ca="1" si="121"/>
        <v>#N/A</v>
      </c>
      <c r="AT148" t="e">
        <f t="shared" ca="1" si="122"/>
        <v>#N/A</v>
      </c>
      <c r="AU148" t="e">
        <f t="shared" ca="1" si="111"/>
        <v>#N/A</v>
      </c>
    </row>
    <row r="149" spans="2:47" x14ac:dyDescent="0.25">
      <c r="B149" s="105">
        <f t="shared" si="112"/>
        <v>32</v>
      </c>
      <c r="C149">
        <v>33</v>
      </c>
      <c r="D149" s="78" t="e">
        <f ca="1">'PEP Impact Model'!J51</f>
        <v>#N/A</v>
      </c>
      <c r="E149" s="78" t="e">
        <f t="shared" ca="1" si="113"/>
        <v>#N/A</v>
      </c>
      <c r="F149" t="e">
        <f t="shared" ca="1" si="101"/>
        <v>#N/A</v>
      </c>
      <c r="G149" t="e">
        <f ca="1">SUM($F$117:F149)</f>
        <v>#N/A</v>
      </c>
      <c r="H149" t="e">
        <f t="shared" ref="H149:H180" si="123">IF(B149&lt;$D$8,$C$11,$D$11)</f>
        <v>#N/A</v>
      </c>
      <c r="I149" t="e">
        <f t="shared" ref="I149:I180" ca="1" si="124">ROUND((E149-(E149*$D$14))*H149,0)</f>
        <v>#N/A</v>
      </c>
      <c r="J149" t="e">
        <f ca="1">SUM($I$117:I149)</f>
        <v>#N/A</v>
      </c>
      <c r="K149" t="e">
        <f t="shared" ref="K149:K180" ca="1" si="125">ROUND(I149*$C$17,0)</f>
        <v>#N/A</v>
      </c>
      <c r="L149" t="e">
        <f t="shared" ref="L149:L180" ca="1" si="126">ROUND((I149*(1-$C$17)),0)</f>
        <v>#N/A</v>
      </c>
      <c r="M149" s="888">
        <f t="shared" si="102"/>
        <v>0.5</v>
      </c>
      <c r="N149" s="248" t="e">
        <f t="shared" ca="1" si="103"/>
        <v>#N/A</v>
      </c>
      <c r="O149" s="248" t="e">
        <f t="shared" ca="1" si="104"/>
        <v>#N/A</v>
      </c>
      <c r="P149" s="248" t="e">
        <f t="shared" ca="1" si="115"/>
        <v>#N/A</v>
      </c>
      <c r="Q149" s="244" t="e">
        <f ca="1">SUM($P$117:P149)+SUM($V$117:V149)</f>
        <v>#N/A</v>
      </c>
      <c r="R149" s="244" t="e">
        <f t="shared" ca="1" si="118"/>
        <v>#N/A</v>
      </c>
      <c r="S149" s="248" t="e">
        <f ca="1">SUM($R$117:R149)</f>
        <v>#N/A</v>
      </c>
      <c r="T149" s="244" t="e">
        <f t="shared" ca="1" si="119"/>
        <v>#N/A</v>
      </c>
      <c r="U149" s="244" t="e">
        <f ca="1">SUM($T$117:T149)</f>
        <v>#N/A</v>
      </c>
      <c r="V149" t="e">
        <f t="shared" ca="1" si="105"/>
        <v>#N/A</v>
      </c>
      <c r="W149" s="75" t="e">
        <f ca="1">SUM($V$117:V149)</f>
        <v>#N/A</v>
      </c>
      <c r="X149" s="78" t="e">
        <f t="shared" ref="X149:X180" ca="1" si="127">E149-F149-I149</f>
        <v>#N/A</v>
      </c>
      <c r="Y149" t="e">
        <f t="shared" ref="Y149:Y180" si="128">IF(B149&lt;$D$8,$C$12,$D$12)</f>
        <v>#N/A</v>
      </c>
      <c r="Z149" t="e">
        <f t="shared" ref="Z149:Z180" ca="1" si="129">ROUND(F149*Y149,0)</f>
        <v>#N/A</v>
      </c>
      <c r="AA149" s="75" t="e">
        <f ca="1">SUM($Z$117:Z149)</f>
        <v>#N/A</v>
      </c>
      <c r="AB149" t="e">
        <f t="shared" ref="AB149:AB180" ca="1" si="130">SUM(I149,Z149)</f>
        <v>#N/A</v>
      </c>
      <c r="AC149" s="78" t="e">
        <f ca="1">SUM($AB$117:AB149)</f>
        <v>#N/A</v>
      </c>
      <c r="AD149" t="e">
        <f t="shared" ref="AD149:AD180" ca="1" si="131">F149-Z149</f>
        <v>#N/A</v>
      </c>
      <c r="AE149" t="e">
        <f t="shared" ref="AE149:AE180" ca="1" si="132">ROUND(Z149*$D$17,0)</f>
        <v>#N/A</v>
      </c>
      <c r="AF149" t="e">
        <f t="shared" ref="AF149:AF180" ca="1" si="133">ROUND(Z149*(1-$D$17),0)</f>
        <v>#N/A</v>
      </c>
      <c r="AG149" t="e">
        <f t="shared" ca="1" si="116"/>
        <v>#N/A</v>
      </c>
      <c r="AH149" t="e">
        <f t="shared" ca="1" si="106"/>
        <v>#N/A</v>
      </c>
      <c r="AI149" t="e">
        <f t="shared" ca="1" si="107"/>
        <v>#N/A</v>
      </c>
      <c r="AJ149" t="e">
        <f ca="1">SUM($AI$117:AI149)</f>
        <v>#N/A</v>
      </c>
      <c r="AK149" t="e">
        <f t="shared" ca="1" si="114"/>
        <v>#N/A</v>
      </c>
      <c r="AL149" t="e">
        <f ca="1">SUM($AK$117:AK149)</f>
        <v>#N/A</v>
      </c>
      <c r="AM149" s="244" t="e">
        <f t="shared" ca="1" si="120"/>
        <v>#N/A</v>
      </c>
      <c r="AN149" s="248" t="e">
        <f ca="1">SUM($T$117:T149)+SUM($AM$117:AM149)</f>
        <v>#N/A</v>
      </c>
      <c r="AO149" t="e">
        <f t="shared" ca="1" si="117"/>
        <v>#N/A</v>
      </c>
      <c r="AP149" t="e">
        <f ca="1">SUM($AO$117:AO149)</f>
        <v>#N/A</v>
      </c>
      <c r="AQ149" t="e">
        <f t="shared" ca="1" si="108"/>
        <v>#N/A</v>
      </c>
      <c r="AR149" t="e">
        <f t="shared" ca="1" si="100"/>
        <v>#N/A</v>
      </c>
      <c r="AS149" t="e">
        <f t="shared" ca="1" si="121"/>
        <v>#N/A</v>
      </c>
      <c r="AT149" t="e">
        <f t="shared" ca="1" si="122"/>
        <v>#N/A</v>
      </c>
      <c r="AU149" t="e">
        <f t="shared" ca="1" si="111"/>
        <v>#N/A</v>
      </c>
    </row>
    <row r="150" spans="2:47" x14ac:dyDescent="0.25">
      <c r="B150" s="105">
        <f t="shared" si="112"/>
        <v>33</v>
      </c>
      <c r="C150">
        <v>34</v>
      </c>
      <c r="D150" s="78" t="e">
        <f ca="1">'PEP Impact Model'!J52</f>
        <v>#N/A</v>
      </c>
      <c r="E150" s="78" t="e">
        <f t="shared" ca="1" si="113"/>
        <v>#N/A</v>
      </c>
      <c r="F150" t="e">
        <f t="shared" ref="F150:F181" ca="1" si="134">IF(AND(E150&gt;0.5,E150&lt;1.5),1,ROUND(E150*$D$14,0))</f>
        <v>#N/A</v>
      </c>
      <c r="G150" t="e">
        <f ca="1">SUM($F$117:F150)</f>
        <v>#N/A</v>
      </c>
      <c r="H150" t="e">
        <f t="shared" si="123"/>
        <v>#N/A</v>
      </c>
      <c r="I150" t="e">
        <f t="shared" ca="1" si="124"/>
        <v>#N/A</v>
      </c>
      <c r="J150" t="e">
        <f ca="1">SUM($I$117:I150)</f>
        <v>#N/A</v>
      </c>
      <c r="K150" t="e">
        <f t="shared" ca="1" si="125"/>
        <v>#N/A</v>
      </c>
      <c r="L150" t="e">
        <f t="shared" ca="1" si="126"/>
        <v>#N/A</v>
      </c>
      <c r="M150" s="888">
        <f t="shared" si="102"/>
        <v>0.5</v>
      </c>
      <c r="N150" s="248" t="e">
        <f t="shared" ca="1" si="103"/>
        <v>#N/A</v>
      </c>
      <c r="O150" s="248" t="e">
        <f t="shared" ca="1" si="104"/>
        <v>#N/A</v>
      </c>
      <c r="P150" s="248" t="e">
        <f t="shared" ca="1" si="115"/>
        <v>#N/A</v>
      </c>
      <c r="Q150" s="244" t="e">
        <f ca="1">SUM($P$117:P150)+SUM($V$117:V150)</f>
        <v>#N/A</v>
      </c>
      <c r="R150" s="244" t="e">
        <f t="shared" ca="1" si="118"/>
        <v>#N/A</v>
      </c>
      <c r="S150" s="248" t="e">
        <f ca="1">SUM($R$117:R150)</f>
        <v>#N/A</v>
      </c>
      <c r="T150" s="244" t="e">
        <f t="shared" ca="1" si="119"/>
        <v>#N/A</v>
      </c>
      <c r="U150" s="244" t="e">
        <f ca="1">SUM($T$117:T150)</f>
        <v>#N/A</v>
      </c>
      <c r="V150" t="e">
        <f t="shared" ca="1" si="105"/>
        <v>#N/A</v>
      </c>
      <c r="W150" s="75" t="e">
        <f ca="1">SUM($V$117:V150)</f>
        <v>#N/A</v>
      </c>
      <c r="X150" s="78" t="e">
        <f t="shared" ca="1" si="127"/>
        <v>#N/A</v>
      </c>
      <c r="Y150" t="e">
        <f t="shared" si="128"/>
        <v>#N/A</v>
      </c>
      <c r="Z150" t="e">
        <f t="shared" ca="1" si="129"/>
        <v>#N/A</v>
      </c>
      <c r="AA150" s="75" t="e">
        <f ca="1">SUM($Z$117:Z150)</f>
        <v>#N/A</v>
      </c>
      <c r="AB150" t="e">
        <f t="shared" ca="1" si="130"/>
        <v>#N/A</v>
      </c>
      <c r="AC150" s="78" t="e">
        <f ca="1">SUM($AB$117:AB150)</f>
        <v>#N/A</v>
      </c>
      <c r="AD150" t="e">
        <f t="shared" ca="1" si="131"/>
        <v>#N/A</v>
      </c>
      <c r="AE150" t="e">
        <f t="shared" ca="1" si="132"/>
        <v>#N/A</v>
      </c>
      <c r="AF150" t="e">
        <f t="shared" ca="1" si="133"/>
        <v>#N/A</v>
      </c>
      <c r="AG150" t="e">
        <f t="shared" ca="1" si="116"/>
        <v>#N/A</v>
      </c>
      <c r="AH150" t="e">
        <f t="shared" ca="1" si="106"/>
        <v>#N/A</v>
      </c>
      <c r="AI150" t="e">
        <f t="shared" ca="1" si="107"/>
        <v>#N/A</v>
      </c>
      <c r="AJ150" t="e">
        <f ca="1">SUM($AI$117:AI150)</f>
        <v>#N/A</v>
      </c>
      <c r="AK150" t="e">
        <f t="shared" ca="1" si="114"/>
        <v>#N/A</v>
      </c>
      <c r="AL150" t="e">
        <f ca="1">SUM($AK$117:AK150)</f>
        <v>#N/A</v>
      </c>
      <c r="AM150" s="244" t="e">
        <f t="shared" ca="1" si="120"/>
        <v>#N/A</v>
      </c>
      <c r="AN150" s="248" t="e">
        <f ca="1">SUM($T$117:T150)+SUM($AM$117:AM150)</f>
        <v>#N/A</v>
      </c>
      <c r="AO150" t="e">
        <f t="shared" ca="1" si="117"/>
        <v>#N/A</v>
      </c>
      <c r="AP150" t="e">
        <f ca="1">SUM($AO$117:AO150)</f>
        <v>#N/A</v>
      </c>
      <c r="AQ150" t="e">
        <f t="shared" ca="1" si="108"/>
        <v>#N/A</v>
      </c>
      <c r="AR150" t="e">
        <f t="shared" ca="1" si="100"/>
        <v>#N/A</v>
      </c>
      <c r="AS150" t="e">
        <f t="shared" ca="1" si="121"/>
        <v>#N/A</v>
      </c>
      <c r="AT150" t="e">
        <f t="shared" ca="1" si="122"/>
        <v>#N/A</v>
      </c>
      <c r="AU150" t="e">
        <f t="shared" ca="1" si="111"/>
        <v>#N/A</v>
      </c>
    </row>
    <row r="151" spans="2:47" x14ac:dyDescent="0.25">
      <c r="B151" s="105">
        <f t="shared" si="112"/>
        <v>34</v>
      </c>
      <c r="C151">
        <v>35</v>
      </c>
      <c r="D151" s="78" t="e">
        <f ca="1">'PEP Impact Model'!J53</f>
        <v>#N/A</v>
      </c>
      <c r="E151" s="78" t="e">
        <f t="shared" ca="1" si="113"/>
        <v>#N/A</v>
      </c>
      <c r="F151" t="e">
        <f t="shared" ca="1" si="134"/>
        <v>#N/A</v>
      </c>
      <c r="G151" t="e">
        <f ca="1">SUM($F$117:F151)</f>
        <v>#N/A</v>
      </c>
      <c r="H151" t="e">
        <f t="shared" si="123"/>
        <v>#N/A</v>
      </c>
      <c r="I151" t="e">
        <f t="shared" ca="1" si="124"/>
        <v>#N/A</v>
      </c>
      <c r="J151" t="e">
        <f ca="1">SUM($I$117:I151)</f>
        <v>#N/A</v>
      </c>
      <c r="K151" t="e">
        <f t="shared" ca="1" si="125"/>
        <v>#N/A</v>
      </c>
      <c r="L151" t="e">
        <f t="shared" ca="1" si="126"/>
        <v>#N/A</v>
      </c>
      <c r="M151" s="888">
        <f t="shared" si="102"/>
        <v>0.5</v>
      </c>
      <c r="N151" s="248" t="e">
        <f t="shared" ca="1" si="103"/>
        <v>#N/A</v>
      </c>
      <c r="O151" s="248" t="e">
        <f t="shared" ca="1" si="104"/>
        <v>#N/A</v>
      </c>
      <c r="P151" s="248" t="e">
        <f t="shared" ca="1" si="115"/>
        <v>#N/A</v>
      </c>
      <c r="Q151" s="244" t="e">
        <f ca="1">SUM($P$117:P151)+SUM($V$117:V151)</f>
        <v>#N/A</v>
      </c>
      <c r="R151" s="244" t="e">
        <f t="shared" ca="1" si="118"/>
        <v>#N/A</v>
      </c>
      <c r="S151" s="248" t="e">
        <f ca="1">SUM($R$117:R151)</f>
        <v>#N/A</v>
      </c>
      <c r="T151" s="244" t="e">
        <f t="shared" ca="1" si="119"/>
        <v>#N/A</v>
      </c>
      <c r="U151" s="244" t="e">
        <f ca="1">SUM($T$117:T151)</f>
        <v>#N/A</v>
      </c>
      <c r="V151" t="e">
        <f t="shared" ca="1" si="105"/>
        <v>#N/A</v>
      </c>
      <c r="W151" s="75" t="e">
        <f ca="1">SUM($V$117:V151)</f>
        <v>#N/A</v>
      </c>
      <c r="X151" s="78" t="e">
        <f t="shared" ca="1" si="127"/>
        <v>#N/A</v>
      </c>
      <c r="Y151" t="e">
        <f t="shared" si="128"/>
        <v>#N/A</v>
      </c>
      <c r="Z151" t="e">
        <f t="shared" ca="1" si="129"/>
        <v>#N/A</v>
      </c>
      <c r="AA151" s="75" t="e">
        <f ca="1">SUM($Z$117:Z151)</f>
        <v>#N/A</v>
      </c>
      <c r="AB151" t="e">
        <f t="shared" ca="1" si="130"/>
        <v>#N/A</v>
      </c>
      <c r="AC151" s="78" t="e">
        <f ca="1">SUM($AB$117:AB151)</f>
        <v>#N/A</v>
      </c>
      <c r="AD151" t="e">
        <f t="shared" ca="1" si="131"/>
        <v>#N/A</v>
      </c>
      <c r="AE151" t="e">
        <f t="shared" ca="1" si="132"/>
        <v>#N/A</v>
      </c>
      <c r="AF151" t="e">
        <f t="shared" ca="1" si="133"/>
        <v>#N/A</v>
      </c>
      <c r="AG151" t="e">
        <f t="shared" ca="1" si="116"/>
        <v>#N/A</v>
      </c>
      <c r="AH151" t="e">
        <f t="shared" ca="1" si="106"/>
        <v>#N/A</v>
      </c>
      <c r="AI151" t="e">
        <f t="shared" ca="1" si="107"/>
        <v>#N/A</v>
      </c>
      <c r="AJ151" t="e">
        <f ca="1">SUM($AI$117:AI151)</f>
        <v>#N/A</v>
      </c>
      <c r="AK151" t="e">
        <f t="shared" ca="1" si="114"/>
        <v>#N/A</v>
      </c>
      <c r="AL151" t="e">
        <f ca="1">SUM($AK$117:AK151)</f>
        <v>#N/A</v>
      </c>
      <c r="AM151" s="244" t="e">
        <f t="shared" ca="1" si="120"/>
        <v>#N/A</v>
      </c>
      <c r="AN151" s="248" t="e">
        <f ca="1">SUM($T$117:T151)+SUM($AM$117:AM151)</f>
        <v>#N/A</v>
      </c>
      <c r="AO151" t="e">
        <f t="shared" ca="1" si="117"/>
        <v>#N/A</v>
      </c>
      <c r="AP151" t="e">
        <f ca="1">SUM($AO$117:AO151)</f>
        <v>#N/A</v>
      </c>
      <c r="AQ151" t="e">
        <f t="shared" ca="1" si="108"/>
        <v>#N/A</v>
      </c>
      <c r="AR151" t="e">
        <f t="shared" ca="1" si="100"/>
        <v>#N/A</v>
      </c>
      <c r="AS151" t="e">
        <f t="shared" ca="1" si="121"/>
        <v>#N/A</v>
      </c>
      <c r="AT151" t="e">
        <f t="shared" ca="1" si="122"/>
        <v>#N/A</v>
      </c>
      <c r="AU151" t="e">
        <f t="shared" ca="1" si="111"/>
        <v>#N/A</v>
      </c>
    </row>
    <row r="152" spans="2:47" x14ac:dyDescent="0.25">
      <c r="B152" s="105">
        <f t="shared" si="112"/>
        <v>35</v>
      </c>
      <c r="C152">
        <v>36</v>
      </c>
      <c r="D152" s="78" t="e">
        <f ca="1">'PEP Impact Model'!J54</f>
        <v>#N/A</v>
      </c>
      <c r="E152" s="78" t="e">
        <f t="shared" ca="1" si="113"/>
        <v>#N/A</v>
      </c>
      <c r="F152" t="e">
        <f t="shared" ca="1" si="134"/>
        <v>#N/A</v>
      </c>
      <c r="G152" t="e">
        <f ca="1">SUM($F$117:F152)</f>
        <v>#N/A</v>
      </c>
      <c r="H152" t="e">
        <f t="shared" si="123"/>
        <v>#N/A</v>
      </c>
      <c r="I152" t="e">
        <f t="shared" ca="1" si="124"/>
        <v>#N/A</v>
      </c>
      <c r="J152" t="e">
        <f ca="1">SUM($I$117:I152)</f>
        <v>#N/A</v>
      </c>
      <c r="K152" t="e">
        <f t="shared" ca="1" si="125"/>
        <v>#N/A</v>
      </c>
      <c r="L152" t="e">
        <f t="shared" ca="1" si="126"/>
        <v>#N/A</v>
      </c>
      <c r="M152" s="888">
        <f t="shared" si="102"/>
        <v>0.5</v>
      </c>
      <c r="N152" s="248" t="e">
        <f t="shared" ca="1" si="103"/>
        <v>#N/A</v>
      </c>
      <c r="O152" s="248" t="e">
        <f t="shared" ca="1" si="104"/>
        <v>#N/A</v>
      </c>
      <c r="P152" s="248" t="e">
        <f t="shared" ca="1" si="115"/>
        <v>#N/A</v>
      </c>
      <c r="Q152" s="244" t="e">
        <f ca="1">SUM($P$117:P152)+SUM($V$117:V152)</f>
        <v>#N/A</v>
      </c>
      <c r="R152" s="244" t="e">
        <f t="shared" ca="1" si="118"/>
        <v>#N/A</v>
      </c>
      <c r="S152" s="248" t="e">
        <f ca="1">SUM($R$117:R152)</f>
        <v>#N/A</v>
      </c>
      <c r="T152" s="244" t="e">
        <f t="shared" ca="1" si="119"/>
        <v>#N/A</v>
      </c>
      <c r="U152" s="244" t="e">
        <f ca="1">SUM($T$117:T152)</f>
        <v>#N/A</v>
      </c>
      <c r="V152" t="e">
        <f t="shared" ca="1" si="105"/>
        <v>#N/A</v>
      </c>
      <c r="W152" s="75" t="e">
        <f ca="1">SUM($V$117:V152)</f>
        <v>#N/A</v>
      </c>
      <c r="X152" s="78" t="e">
        <f t="shared" ca="1" si="127"/>
        <v>#N/A</v>
      </c>
      <c r="Y152" t="e">
        <f t="shared" si="128"/>
        <v>#N/A</v>
      </c>
      <c r="Z152" t="e">
        <f t="shared" ca="1" si="129"/>
        <v>#N/A</v>
      </c>
      <c r="AA152" s="75" t="e">
        <f ca="1">SUM($Z$117:Z152)</f>
        <v>#N/A</v>
      </c>
      <c r="AB152" t="e">
        <f t="shared" ca="1" si="130"/>
        <v>#N/A</v>
      </c>
      <c r="AC152" s="78" t="e">
        <f ca="1">SUM($AB$117:AB152)</f>
        <v>#N/A</v>
      </c>
      <c r="AD152" t="e">
        <f t="shared" ca="1" si="131"/>
        <v>#N/A</v>
      </c>
      <c r="AE152" t="e">
        <f t="shared" ca="1" si="132"/>
        <v>#N/A</v>
      </c>
      <c r="AF152" t="e">
        <f t="shared" ca="1" si="133"/>
        <v>#N/A</v>
      </c>
      <c r="AG152" t="e">
        <f t="shared" ca="1" si="116"/>
        <v>#N/A</v>
      </c>
      <c r="AH152" t="e">
        <f t="shared" ca="1" si="106"/>
        <v>#N/A</v>
      </c>
      <c r="AI152" t="e">
        <f t="shared" ca="1" si="107"/>
        <v>#N/A</v>
      </c>
      <c r="AJ152" t="e">
        <f ca="1">SUM($AI$117:AI152)</f>
        <v>#N/A</v>
      </c>
      <c r="AK152" t="e">
        <f t="shared" ca="1" si="114"/>
        <v>#N/A</v>
      </c>
      <c r="AL152" t="e">
        <f ca="1">SUM($AK$117:AK152)</f>
        <v>#N/A</v>
      </c>
      <c r="AM152" s="244" t="e">
        <f t="shared" ca="1" si="120"/>
        <v>#N/A</v>
      </c>
      <c r="AN152" s="248" t="e">
        <f ca="1">SUM($T$117:T152)+SUM($AM$117:AM152)</f>
        <v>#N/A</v>
      </c>
      <c r="AO152" t="e">
        <f t="shared" ca="1" si="117"/>
        <v>#N/A</v>
      </c>
      <c r="AP152" t="e">
        <f ca="1">SUM($AO$117:AO152)</f>
        <v>#N/A</v>
      </c>
      <c r="AQ152" t="e">
        <f t="shared" ca="1" si="108"/>
        <v>#N/A</v>
      </c>
      <c r="AR152" t="e">
        <f t="shared" ca="1" si="100"/>
        <v>#N/A</v>
      </c>
      <c r="AS152" t="e">
        <f t="shared" ca="1" si="121"/>
        <v>#N/A</v>
      </c>
      <c r="AT152" t="e">
        <f t="shared" ca="1" si="122"/>
        <v>#N/A</v>
      </c>
      <c r="AU152" t="e">
        <f t="shared" ca="1" si="111"/>
        <v>#N/A</v>
      </c>
    </row>
    <row r="153" spans="2:47" x14ac:dyDescent="0.25">
      <c r="B153" s="105">
        <f t="shared" si="112"/>
        <v>36</v>
      </c>
      <c r="C153">
        <v>37</v>
      </c>
      <c r="D153" s="78" t="e">
        <f ca="1">'PEP Impact Model'!J55</f>
        <v>#N/A</v>
      </c>
      <c r="E153" s="78" t="e">
        <f t="shared" ref="E153:E184" ca="1" si="135">IF(D149&lt;0.5,0,IF(D153+X152&lt;0,1,D153+X152))</f>
        <v>#N/A</v>
      </c>
      <c r="F153" t="e">
        <f t="shared" ca="1" si="134"/>
        <v>#N/A</v>
      </c>
      <c r="G153" t="e">
        <f ca="1">SUM($F$117:F153)</f>
        <v>#N/A</v>
      </c>
      <c r="H153" t="e">
        <f t="shared" si="123"/>
        <v>#N/A</v>
      </c>
      <c r="I153" t="e">
        <f t="shared" ca="1" si="124"/>
        <v>#N/A</v>
      </c>
      <c r="J153" t="e">
        <f ca="1">SUM($I$117:I153)</f>
        <v>#N/A</v>
      </c>
      <c r="K153" t="e">
        <f t="shared" ca="1" si="125"/>
        <v>#N/A</v>
      </c>
      <c r="L153" t="e">
        <f t="shared" ca="1" si="126"/>
        <v>#N/A</v>
      </c>
      <c r="M153" s="888">
        <f t="shared" si="102"/>
        <v>0.5</v>
      </c>
      <c r="N153" s="248" t="e">
        <f t="shared" ca="1" si="103"/>
        <v>#N/A</v>
      </c>
      <c r="O153" s="248" t="e">
        <f t="shared" ca="1" si="104"/>
        <v>#N/A</v>
      </c>
      <c r="P153" s="248" t="e">
        <f t="shared" ca="1" si="115"/>
        <v>#N/A</v>
      </c>
      <c r="Q153" s="244" t="e">
        <f ca="1">SUM($P$117:P153)+SUM($V$117:V153)</f>
        <v>#N/A</v>
      </c>
      <c r="R153" s="244" t="e">
        <f t="shared" ca="1" si="118"/>
        <v>#N/A</v>
      </c>
      <c r="S153" s="248" t="e">
        <f ca="1">SUM($R$117:R153)</f>
        <v>#N/A</v>
      </c>
      <c r="T153" s="244" t="e">
        <f t="shared" ca="1" si="119"/>
        <v>#N/A</v>
      </c>
      <c r="U153" s="244" t="e">
        <f ca="1">SUM($T$117:T153)</f>
        <v>#N/A</v>
      </c>
      <c r="V153" t="e">
        <f t="shared" ca="1" si="105"/>
        <v>#N/A</v>
      </c>
      <c r="W153" s="75" t="e">
        <f ca="1">SUM($V$117:V153)</f>
        <v>#N/A</v>
      </c>
      <c r="X153" s="78" t="e">
        <f t="shared" ca="1" si="127"/>
        <v>#N/A</v>
      </c>
      <c r="Y153" t="e">
        <f t="shared" si="128"/>
        <v>#N/A</v>
      </c>
      <c r="Z153" t="e">
        <f t="shared" ca="1" si="129"/>
        <v>#N/A</v>
      </c>
      <c r="AA153" s="75" t="e">
        <f ca="1">SUM($Z$117:Z153)</f>
        <v>#N/A</v>
      </c>
      <c r="AB153" t="e">
        <f t="shared" ca="1" si="130"/>
        <v>#N/A</v>
      </c>
      <c r="AC153" s="78" t="e">
        <f ca="1">SUM($AB$117:AB153)</f>
        <v>#N/A</v>
      </c>
      <c r="AD153" t="e">
        <f t="shared" ca="1" si="131"/>
        <v>#N/A</v>
      </c>
      <c r="AE153" t="e">
        <f t="shared" ca="1" si="132"/>
        <v>#N/A</v>
      </c>
      <c r="AF153" t="e">
        <f t="shared" ca="1" si="133"/>
        <v>#N/A</v>
      </c>
      <c r="AG153" t="e">
        <f t="shared" ca="1" si="116"/>
        <v>#N/A</v>
      </c>
      <c r="AH153" t="e">
        <f t="shared" ca="1" si="106"/>
        <v>#N/A</v>
      </c>
      <c r="AI153" t="e">
        <f t="shared" ca="1" si="107"/>
        <v>#N/A</v>
      </c>
      <c r="AJ153" t="e">
        <f ca="1">SUM($AI$117:AI153)</f>
        <v>#N/A</v>
      </c>
      <c r="AK153" t="e">
        <f t="shared" ca="1" si="114"/>
        <v>#N/A</v>
      </c>
      <c r="AL153" t="e">
        <f ca="1">SUM($AK$117:AK153)</f>
        <v>#N/A</v>
      </c>
      <c r="AM153" s="244" t="e">
        <f t="shared" ca="1" si="120"/>
        <v>#N/A</v>
      </c>
      <c r="AN153" s="248" t="e">
        <f ca="1">SUM($T$117:T153)+SUM($AM$117:AM153)</f>
        <v>#N/A</v>
      </c>
      <c r="AO153" t="e">
        <f t="shared" ca="1" si="117"/>
        <v>#N/A</v>
      </c>
      <c r="AP153" t="e">
        <f ca="1">SUM($AO$117:AO153)</f>
        <v>#N/A</v>
      </c>
      <c r="AQ153" t="e">
        <f t="shared" ca="1" si="108"/>
        <v>#N/A</v>
      </c>
      <c r="AR153" t="e">
        <f t="shared" ca="1" si="100"/>
        <v>#N/A</v>
      </c>
      <c r="AS153" t="e">
        <f t="shared" ca="1" si="121"/>
        <v>#N/A</v>
      </c>
      <c r="AT153" t="e">
        <f t="shared" ca="1" si="122"/>
        <v>#N/A</v>
      </c>
      <c r="AU153" t="e">
        <f t="shared" ca="1" si="111"/>
        <v>#N/A</v>
      </c>
    </row>
    <row r="154" spans="2:47" x14ac:dyDescent="0.25">
      <c r="B154" s="105">
        <f t="shared" si="112"/>
        <v>37</v>
      </c>
      <c r="C154">
        <v>38</v>
      </c>
      <c r="D154" s="78" t="e">
        <f ca="1">'PEP Impact Model'!J56</f>
        <v>#N/A</v>
      </c>
      <c r="E154" s="78" t="e">
        <f t="shared" ca="1" si="135"/>
        <v>#N/A</v>
      </c>
      <c r="F154" t="e">
        <f t="shared" ca="1" si="134"/>
        <v>#N/A</v>
      </c>
      <c r="G154" t="e">
        <f ca="1">SUM($F$117:F154)</f>
        <v>#N/A</v>
      </c>
      <c r="H154" t="e">
        <f t="shared" si="123"/>
        <v>#N/A</v>
      </c>
      <c r="I154" t="e">
        <f t="shared" ca="1" si="124"/>
        <v>#N/A</v>
      </c>
      <c r="J154" t="e">
        <f ca="1">SUM($I$117:I154)</f>
        <v>#N/A</v>
      </c>
      <c r="K154" t="e">
        <f t="shared" ca="1" si="125"/>
        <v>#N/A</v>
      </c>
      <c r="L154" t="e">
        <f t="shared" ca="1" si="126"/>
        <v>#N/A</v>
      </c>
      <c r="M154" s="888">
        <f t="shared" si="102"/>
        <v>0.5</v>
      </c>
      <c r="N154" s="248" t="e">
        <f t="shared" ca="1" si="103"/>
        <v>#N/A</v>
      </c>
      <c r="O154" s="248" t="e">
        <f t="shared" ca="1" si="104"/>
        <v>#N/A</v>
      </c>
      <c r="P154" s="248" t="e">
        <f t="shared" ca="1" si="115"/>
        <v>#N/A</v>
      </c>
      <c r="Q154" s="244" t="e">
        <f ca="1">SUM($P$117:P154)+SUM($V$117:V154)</f>
        <v>#N/A</v>
      </c>
      <c r="R154" s="244" t="e">
        <f t="shared" ca="1" si="118"/>
        <v>#N/A</v>
      </c>
      <c r="S154" s="248" t="e">
        <f ca="1">SUM($R$117:R154)</f>
        <v>#N/A</v>
      </c>
      <c r="T154" s="244" t="e">
        <f t="shared" ca="1" si="119"/>
        <v>#N/A</v>
      </c>
      <c r="U154" s="244" t="e">
        <f ca="1">SUM($T$117:T154)</f>
        <v>#N/A</v>
      </c>
      <c r="V154" t="e">
        <f t="shared" ca="1" si="105"/>
        <v>#N/A</v>
      </c>
      <c r="W154" s="75" t="e">
        <f ca="1">SUM($V$117:V154)</f>
        <v>#N/A</v>
      </c>
      <c r="X154" s="78" t="e">
        <f t="shared" ca="1" si="127"/>
        <v>#N/A</v>
      </c>
      <c r="Y154" t="e">
        <f t="shared" si="128"/>
        <v>#N/A</v>
      </c>
      <c r="Z154" t="e">
        <f t="shared" ca="1" si="129"/>
        <v>#N/A</v>
      </c>
      <c r="AA154" s="75" t="e">
        <f ca="1">SUM($Z$117:Z154)</f>
        <v>#N/A</v>
      </c>
      <c r="AB154" t="e">
        <f t="shared" ca="1" si="130"/>
        <v>#N/A</v>
      </c>
      <c r="AC154" s="78" t="e">
        <f ca="1">SUM($AB$117:AB154)</f>
        <v>#N/A</v>
      </c>
      <c r="AD154" t="e">
        <f t="shared" ca="1" si="131"/>
        <v>#N/A</v>
      </c>
      <c r="AE154" t="e">
        <f t="shared" ca="1" si="132"/>
        <v>#N/A</v>
      </c>
      <c r="AF154" t="e">
        <f t="shared" ca="1" si="133"/>
        <v>#N/A</v>
      </c>
      <c r="AG154" t="e">
        <f t="shared" ca="1" si="116"/>
        <v>#N/A</v>
      </c>
      <c r="AH154" t="e">
        <f t="shared" ca="1" si="106"/>
        <v>#N/A</v>
      </c>
      <c r="AI154" t="e">
        <f t="shared" ca="1" si="107"/>
        <v>#N/A</v>
      </c>
      <c r="AJ154" t="e">
        <f ca="1">SUM($AI$117:AI154)</f>
        <v>#N/A</v>
      </c>
      <c r="AK154" t="e">
        <f t="shared" ca="1" si="114"/>
        <v>#N/A</v>
      </c>
      <c r="AL154" t="e">
        <f ca="1">SUM($AK$117:AK154)</f>
        <v>#N/A</v>
      </c>
      <c r="AM154" s="244" t="e">
        <f t="shared" ca="1" si="120"/>
        <v>#N/A</v>
      </c>
      <c r="AN154" s="248" t="e">
        <f ca="1">SUM($T$117:T154)+SUM($AM$117:AM154)</f>
        <v>#N/A</v>
      </c>
      <c r="AO154" t="e">
        <f t="shared" ca="1" si="117"/>
        <v>#N/A</v>
      </c>
      <c r="AP154" t="e">
        <f ca="1">SUM($AO$117:AO154)</f>
        <v>#N/A</v>
      </c>
      <c r="AQ154" t="e">
        <f t="shared" ca="1" si="108"/>
        <v>#N/A</v>
      </c>
      <c r="AR154" t="e">
        <f t="shared" ca="1" si="100"/>
        <v>#N/A</v>
      </c>
      <c r="AS154" t="e">
        <f t="shared" ca="1" si="121"/>
        <v>#N/A</v>
      </c>
      <c r="AT154" t="e">
        <f t="shared" ca="1" si="122"/>
        <v>#N/A</v>
      </c>
      <c r="AU154" t="e">
        <f t="shared" ca="1" si="111"/>
        <v>#N/A</v>
      </c>
    </row>
    <row r="155" spans="2:47" x14ac:dyDescent="0.25">
      <c r="B155" s="105">
        <f t="shared" si="112"/>
        <v>38</v>
      </c>
      <c r="C155">
        <v>39</v>
      </c>
      <c r="D155" s="78" t="e">
        <f ca="1">'PEP Impact Model'!J57</f>
        <v>#N/A</v>
      </c>
      <c r="E155" s="78" t="e">
        <f t="shared" ca="1" si="135"/>
        <v>#N/A</v>
      </c>
      <c r="F155" t="e">
        <f t="shared" ca="1" si="134"/>
        <v>#N/A</v>
      </c>
      <c r="G155" t="e">
        <f ca="1">SUM($F$117:F155)</f>
        <v>#N/A</v>
      </c>
      <c r="H155" t="e">
        <f t="shared" si="123"/>
        <v>#N/A</v>
      </c>
      <c r="I155" t="e">
        <f t="shared" ca="1" si="124"/>
        <v>#N/A</v>
      </c>
      <c r="J155" t="e">
        <f ca="1">SUM($I$117:I155)</f>
        <v>#N/A</v>
      </c>
      <c r="K155" t="e">
        <f t="shared" ca="1" si="125"/>
        <v>#N/A</v>
      </c>
      <c r="L155" t="e">
        <f t="shared" ca="1" si="126"/>
        <v>#N/A</v>
      </c>
      <c r="M155" s="888">
        <f t="shared" si="102"/>
        <v>0.5</v>
      </c>
      <c r="N155" s="248" t="e">
        <f t="shared" ca="1" si="103"/>
        <v>#N/A</v>
      </c>
      <c r="O155" s="248" t="e">
        <f t="shared" ca="1" si="104"/>
        <v>#N/A</v>
      </c>
      <c r="P155" s="248" t="e">
        <f t="shared" ca="1" si="115"/>
        <v>#N/A</v>
      </c>
      <c r="Q155" s="244" t="e">
        <f ca="1">SUM($P$117:P155)+SUM($V$117:V155)</f>
        <v>#N/A</v>
      </c>
      <c r="R155" s="244" t="e">
        <f t="shared" ca="1" si="118"/>
        <v>#N/A</v>
      </c>
      <c r="S155" s="248" t="e">
        <f ca="1">SUM($R$117:R155)</f>
        <v>#N/A</v>
      </c>
      <c r="T155" s="244" t="e">
        <f t="shared" ca="1" si="119"/>
        <v>#N/A</v>
      </c>
      <c r="U155" s="244" t="e">
        <f ca="1">SUM($T$117:T155)</f>
        <v>#N/A</v>
      </c>
      <c r="V155" t="e">
        <f t="shared" ca="1" si="105"/>
        <v>#N/A</v>
      </c>
      <c r="W155" s="75" t="e">
        <f ca="1">SUM($V$117:V155)</f>
        <v>#N/A</v>
      </c>
      <c r="X155" s="78" t="e">
        <f t="shared" ca="1" si="127"/>
        <v>#N/A</v>
      </c>
      <c r="Y155" t="e">
        <f t="shared" si="128"/>
        <v>#N/A</v>
      </c>
      <c r="Z155" t="e">
        <f t="shared" ca="1" si="129"/>
        <v>#N/A</v>
      </c>
      <c r="AA155" s="75" t="e">
        <f ca="1">SUM($Z$117:Z155)</f>
        <v>#N/A</v>
      </c>
      <c r="AB155" t="e">
        <f t="shared" ca="1" si="130"/>
        <v>#N/A</v>
      </c>
      <c r="AC155" s="78" t="e">
        <f ca="1">SUM($AB$117:AB155)</f>
        <v>#N/A</v>
      </c>
      <c r="AD155" t="e">
        <f t="shared" ca="1" si="131"/>
        <v>#N/A</v>
      </c>
      <c r="AE155" t="e">
        <f t="shared" ca="1" si="132"/>
        <v>#N/A</v>
      </c>
      <c r="AF155" t="e">
        <f t="shared" ca="1" si="133"/>
        <v>#N/A</v>
      </c>
      <c r="AG155" t="e">
        <f t="shared" ca="1" si="116"/>
        <v>#N/A</v>
      </c>
      <c r="AH155" t="e">
        <f t="shared" ca="1" si="106"/>
        <v>#N/A</v>
      </c>
      <c r="AI155" t="e">
        <f t="shared" ca="1" si="107"/>
        <v>#N/A</v>
      </c>
      <c r="AJ155" t="e">
        <f ca="1">SUM($AI$117:AI155)</f>
        <v>#N/A</v>
      </c>
      <c r="AK155" t="e">
        <f t="shared" ca="1" si="114"/>
        <v>#N/A</v>
      </c>
      <c r="AL155" t="e">
        <f ca="1">SUM($AK$117:AK155)</f>
        <v>#N/A</v>
      </c>
      <c r="AM155" s="244" t="e">
        <f t="shared" ca="1" si="120"/>
        <v>#N/A</v>
      </c>
      <c r="AN155" s="248" t="e">
        <f ca="1">SUM($T$117:T155)+SUM($AM$117:AM155)</f>
        <v>#N/A</v>
      </c>
      <c r="AO155" t="e">
        <f t="shared" ca="1" si="117"/>
        <v>#N/A</v>
      </c>
      <c r="AP155" t="e">
        <f ca="1">SUM($AO$117:AO155)</f>
        <v>#N/A</v>
      </c>
      <c r="AQ155" t="e">
        <f t="shared" ca="1" si="108"/>
        <v>#N/A</v>
      </c>
      <c r="AR155" t="e">
        <f t="shared" ca="1" si="100"/>
        <v>#N/A</v>
      </c>
      <c r="AS155" t="e">
        <f t="shared" ca="1" si="121"/>
        <v>#N/A</v>
      </c>
      <c r="AT155" t="e">
        <f t="shared" ca="1" si="122"/>
        <v>#N/A</v>
      </c>
      <c r="AU155" t="e">
        <f t="shared" ca="1" si="111"/>
        <v>#N/A</v>
      </c>
    </row>
    <row r="156" spans="2:47" x14ac:dyDescent="0.25">
      <c r="B156" s="105">
        <f t="shared" si="112"/>
        <v>39</v>
      </c>
      <c r="C156">
        <v>40</v>
      </c>
      <c r="D156" s="78" t="e">
        <f ca="1">'PEP Impact Model'!J58</f>
        <v>#N/A</v>
      </c>
      <c r="E156" s="78" t="e">
        <f t="shared" ca="1" si="135"/>
        <v>#N/A</v>
      </c>
      <c r="F156" t="e">
        <f t="shared" ca="1" si="134"/>
        <v>#N/A</v>
      </c>
      <c r="G156" t="e">
        <f ca="1">SUM($F$117:F156)</f>
        <v>#N/A</v>
      </c>
      <c r="H156" t="e">
        <f t="shared" si="123"/>
        <v>#N/A</v>
      </c>
      <c r="I156" t="e">
        <f t="shared" ca="1" si="124"/>
        <v>#N/A</v>
      </c>
      <c r="J156" t="e">
        <f ca="1">SUM($I$117:I156)</f>
        <v>#N/A</v>
      </c>
      <c r="K156" t="e">
        <f t="shared" ca="1" si="125"/>
        <v>#N/A</v>
      </c>
      <c r="L156" t="e">
        <f t="shared" ca="1" si="126"/>
        <v>#N/A</v>
      </c>
      <c r="M156" s="888">
        <f t="shared" si="102"/>
        <v>0.5</v>
      </c>
      <c r="N156" s="248" t="e">
        <f t="shared" ca="1" si="103"/>
        <v>#N/A</v>
      </c>
      <c r="O156" s="248" t="e">
        <f t="shared" ca="1" si="104"/>
        <v>#N/A</v>
      </c>
      <c r="P156" s="248" t="e">
        <f t="shared" ca="1" si="115"/>
        <v>#N/A</v>
      </c>
      <c r="Q156" s="244" t="e">
        <f ca="1">SUM($P$117:P156)+SUM($V$117:V156)</f>
        <v>#N/A</v>
      </c>
      <c r="R156" s="244" t="e">
        <f t="shared" ca="1" si="118"/>
        <v>#N/A</v>
      </c>
      <c r="S156" s="248" t="e">
        <f ca="1">SUM($R$117:R156)</f>
        <v>#N/A</v>
      </c>
      <c r="T156" s="244" t="e">
        <f t="shared" ca="1" si="119"/>
        <v>#N/A</v>
      </c>
      <c r="U156" s="244" t="e">
        <f ca="1">SUM($T$117:T156)</f>
        <v>#N/A</v>
      </c>
      <c r="V156" t="e">
        <f t="shared" ca="1" si="105"/>
        <v>#N/A</v>
      </c>
      <c r="W156" s="75" t="e">
        <f ca="1">SUM($V$117:V156)</f>
        <v>#N/A</v>
      </c>
      <c r="X156" s="78" t="e">
        <f t="shared" ca="1" si="127"/>
        <v>#N/A</v>
      </c>
      <c r="Y156" t="e">
        <f t="shared" si="128"/>
        <v>#N/A</v>
      </c>
      <c r="Z156" t="e">
        <f t="shared" ca="1" si="129"/>
        <v>#N/A</v>
      </c>
      <c r="AA156" s="75" t="e">
        <f ca="1">SUM($Z$117:Z156)</f>
        <v>#N/A</v>
      </c>
      <c r="AB156" t="e">
        <f t="shared" ca="1" si="130"/>
        <v>#N/A</v>
      </c>
      <c r="AC156" s="78" t="e">
        <f ca="1">SUM($AB$117:AB156)</f>
        <v>#N/A</v>
      </c>
      <c r="AD156" t="e">
        <f t="shared" ca="1" si="131"/>
        <v>#N/A</v>
      </c>
      <c r="AE156" t="e">
        <f t="shared" ca="1" si="132"/>
        <v>#N/A</v>
      </c>
      <c r="AF156" t="e">
        <f t="shared" ca="1" si="133"/>
        <v>#N/A</v>
      </c>
      <c r="AG156" t="e">
        <f t="shared" ca="1" si="116"/>
        <v>#N/A</v>
      </c>
      <c r="AH156" t="e">
        <f t="shared" ca="1" si="106"/>
        <v>#N/A</v>
      </c>
      <c r="AI156" t="e">
        <f t="shared" ca="1" si="107"/>
        <v>#N/A</v>
      </c>
      <c r="AJ156" t="e">
        <f ca="1">SUM($AI$117:AI156)</f>
        <v>#N/A</v>
      </c>
      <c r="AK156" t="e">
        <f t="shared" ca="1" si="114"/>
        <v>#N/A</v>
      </c>
      <c r="AL156" t="e">
        <f ca="1">SUM($AK$117:AK156)</f>
        <v>#N/A</v>
      </c>
      <c r="AM156" s="244" t="e">
        <f t="shared" ca="1" si="120"/>
        <v>#N/A</v>
      </c>
      <c r="AN156" s="248" t="e">
        <f ca="1">SUM($T$117:T156)+SUM($AM$117:AM156)</f>
        <v>#N/A</v>
      </c>
      <c r="AO156" t="e">
        <f t="shared" ca="1" si="117"/>
        <v>#N/A</v>
      </c>
      <c r="AP156" t="e">
        <f ca="1">SUM($AO$117:AO156)</f>
        <v>#N/A</v>
      </c>
      <c r="AQ156" t="e">
        <f t="shared" ca="1" si="108"/>
        <v>#N/A</v>
      </c>
      <c r="AR156" t="e">
        <f t="shared" ca="1" si="100"/>
        <v>#N/A</v>
      </c>
      <c r="AS156" t="e">
        <f t="shared" ca="1" si="121"/>
        <v>#N/A</v>
      </c>
      <c r="AT156" t="e">
        <f t="shared" ca="1" si="122"/>
        <v>#N/A</v>
      </c>
      <c r="AU156" t="e">
        <f t="shared" ca="1" si="111"/>
        <v>#N/A</v>
      </c>
    </row>
    <row r="157" spans="2:47" x14ac:dyDescent="0.25">
      <c r="B157" s="105">
        <f t="shared" si="112"/>
        <v>40</v>
      </c>
      <c r="C157">
        <v>41</v>
      </c>
      <c r="D157" s="78" t="e">
        <f ca="1">'PEP Impact Model'!J59</f>
        <v>#N/A</v>
      </c>
      <c r="E157" s="78" t="e">
        <f t="shared" ca="1" si="135"/>
        <v>#N/A</v>
      </c>
      <c r="F157" t="e">
        <f t="shared" ca="1" si="134"/>
        <v>#N/A</v>
      </c>
      <c r="G157" t="e">
        <f ca="1">SUM($F$117:F157)</f>
        <v>#N/A</v>
      </c>
      <c r="H157" t="e">
        <f t="shared" si="123"/>
        <v>#N/A</v>
      </c>
      <c r="I157" t="e">
        <f t="shared" ca="1" si="124"/>
        <v>#N/A</v>
      </c>
      <c r="J157" t="e">
        <f ca="1">SUM($I$117:I157)</f>
        <v>#N/A</v>
      </c>
      <c r="K157" t="e">
        <f t="shared" ca="1" si="125"/>
        <v>#N/A</v>
      </c>
      <c r="L157" t="e">
        <f t="shared" ca="1" si="126"/>
        <v>#N/A</v>
      </c>
      <c r="M157" s="888">
        <f t="shared" si="102"/>
        <v>0.5</v>
      </c>
      <c r="N157" s="248" t="e">
        <f t="shared" ca="1" si="103"/>
        <v>#N/A</v>
      </c>
      <c r="O157" s="248" t="e">
        <f t="shared" ca="1" si="104"/>
        <v>#N/A</v>
      </c>
      <c r="P157" s="248" t="e">
        <f t="shared" ca="1" si="115"/>
        <v>#N/A</v>
      </c>
      <c r="Q157" s="244" t="e">
        <f ca="1">SUM($P$117:P157)+SUM($V$117:V157)</f>
        <v>#N/A</v>
      </c>
      <c r="R157" s="244" t="e">
        <f t="shared" ca="1" si="118"/>
        <v>#N/A</v>
      </c>
      <c r="S157" s="248" t="e">
        <f ca="1">SUM($R$117:R157)</f>
        <v>#N/A</v>
      </c>
      <c r="T157" s="244" t="e">
        <f t="shared" ca="1" si="119"/>
        <v>#N/A</v>
      </c>
      <c r="U157" s="244" t="e">
        <f ca="1">SUM($T$117:T157)</f>
        <v>#N/A</v>
      </c>
      <c r="V157" t="e">
        <f t="shared" ca="1" si="105"/>
        <v>#N/A</v>
      </c>
      <c r="W157" s="75" t="e">
        <f ca="1">SUM($V$117:V157)</f>
        <v>#N/A</v>
      </c>
      <c r="X157" s="78" t="e">
        <f t="shared" ca="1" si="127"/>
        <v>#N/A</v>
      </c>
      <c r="Y157" t="e">
        <f t="shared" si="128"/>
        <v>#N/A</v>
      </c>
      <c r="Z157" t="e">
        <f t="shared" ca="1" si="129"/>
        <v>#N/A</v>
      </c>
      <c r="AA157" s="75" t="e">
        <f ca="1">SUM($Z$117:Z157)</f>
        <v>#N/A</v>
      </c>
      <c r="AB157" t="e">
        <f t="shared" ca="1" si="130"/>
        <v>#N/A</v>
      </c>
      <c r="AC157" s="78" t="e">
        <f ca="1">SUM($AB$117:AB157)</f>
        <v>#N/A</v>
      </c>
      <c r="AD157" t="e">
        <f t="shared" ca="1" si="131"/>
        <v>#N/A</v>
      </c>
      <c r="AE157" t="e">
        <f t="shared" ca="1" si="132"/>
        <v>#N/A</v>
      </c>
      <c r="AF157" t="e">
        <f t="shared" ca="1" si="133"/>
        <v>#N/A</v>
      </c>
      <c r="AG157" t="e">
        <f t="shared" ca="1" si="116"/>
        <v>#N/A</v>
      </c>
      <c r="AH157" t="e">
        <f t="shared" ca="1" si="106"/>
        <v>#N/A</v>
      </c>
      <c r="AI157" t="e">
        <f t="shared" ca="1" si="107"/>
        <v>#N/A</v>
      </c>
      <c r="AJ157" t="e">
        <f ca="1">SUM($AI$117:AI157)</f>
        <v>#N/A</v>
      </c>
      <c r="AK157" t="e">
        <f t="shared" ca="1" si="114"/>
        <v>#N/A</v>
      </c>
      <c r="AL157" t="e">
        <f ca="1">SUM($AK$117:AK157)</f>
        <v>#N/A</v>
      </c>
      <c r="AM157" s="244" t="e">
        <f t="shared" ca="1" si="120"/>
        <v>#N/A</v>
      </c>
      <c r="AN157" s="248" t="e">
        <f ca="1">SUM($T$117:T157)+SUM($AM$117:AM157)</f>
        <v>#N/A</v>
      </c>
      <c r="AO157" t="e">
        <f t="shared" ca="1" si="117"/>
        <v>#N/A</v>
      </c>
      <c r="AP157" t="e">
        <f ca="1">SUM($AO$117:AO157)</f>
        <v>#N/A</v>
      </c>
      <c r="AQ157" t="e">
        <f t="shared" ca="1" si="108"/>
        <v>#N/A</v>
      </c>
      <c r="AR157" t="e">
        <f t="shared" ca="1" si="100"/>
        <v>#N/A</v>
      </c>
      <c r="AS157" t="e">
        <f t="shared" ca="1" si="121"/>
        <v>#N/A</v>
      </c>
      <c r="AT157" t="e">
        <f t="shared" ca="1" si="122"/>
        <v>#N/A</v>
      </c>
      <c r="AU157" t="e">
        <f t="shared" ca="1" si="111"/>
        <v>#N/A</v>
      </c>
    </row>
    <row r="158" spans="2:47" x14ac:dyDescent="0.25">
      <c r="B158" s="105">
        <f t="shared" si="112"/>
        <v>41</v>
      </c>
      <c r="C158">
        <v>42</v>
      </c>
      <c r="D158" s="78" t="e">
        <f ca="1">'PEP Impact Model'!J60</f>
        <v>#N/A</v>
      </c>
      <c r="E158" s="78" t="e">
        <f t="shared" ca="1" si="135"/>
        <v>#N/A</v>
      </c>
      <c r="F158" t="e">
        <f t="shared" ca="1" si="134"/>
        <v>#N/A</v>
      </c>
      <c r="G158" t="e">
        <f ca="1">SUM($F$117:F158)</f>
        <v>#N/A</v>
      </c>
      <c r="H158" t="e">
        <f t="shared" si="123"/>
        <v>#N/A</v>
      </c>
      <c r="I158" t="e">
        <f t="shared" ca="1" si="124"/>
        <v>#N/A</v>
      </c>
      <c r="J158" t="e">
        <f ca="1">SUM($I$117:I158)</f>
        <v>#N/A</v>
      </c>
      <c r="K158" t="e">
        <f t="shared" ca="1" si="125"/>
        <v>#N/A</v>
      </c>
      <c r="L158" t="e">
        <f t="shared" ca="1" si="126"/>
        <v>#N/A</v>
      </c>
      <c r="M158" s="888">
        <f t="shared" si="102"/>
        <v>0.5</v>
      </c>
      <c r="N158" s="248" t="e">
        <f t="shared" ca="1" si="103"/>
        <v>#N/A</v>
      </c>
      <c r="O158" s="248" t="e">
        <f t="shared" ca="1" si="104"/>
        <v>#N/A</v>
      </c>
      <c r="P158" s="248" t="e">
        <f t="shared" ca="1" si="115"/>
        <v>#N/A</v>
      </c>
      <c r="Q158" s="244" t="e">
        <f ca="1">SUM($P$117:P158)+SUM($V$117:V158)</f>
        <v>#N/A</v>
      </c>
      <c r="R158" s="244" t="e">
        <f t="shared" ca="1" si="118"/>
        <v>#N/A</v>
      </c>
      <c r="S158" s="248" t="e">
        <f ca="1">SUM($R$117:R158)</f>
        <v>#N/A</v>
      </c>
      <c r="T158" s="244" t="e">
        <f t="shared" ca="1" si="119"/>
        <v>#N/A</v>
      </c>
      <c r="U158" s="244" t="e">
        <f ca="1">SUM($T$117:T158)</f>
        <v>#N/A</v>
      </c>
      <c r="V158" t="e">
        <f t="shared" ca="1" si="105"/>
        <v>#N/A</v>
      </c>
      <c r="W158" s="75" t="e">
        <f ca="1">SUM($V$117:V158)</f>
        <v>#N/A</v>
      </c>
      <c r="X158" s="78" t="e">
        <f t="shared" ca="1" si="127"/>
        <v>#N/A</v>
      </c>
      <c r="Y158" t="e">
        <f t="shared" si="128"/>
        <v>#N/A</v>
      </c>
      <c r="Z158" t="e">
        <f t="shared" ca="1" si="129"/>
        <v>#N/A</v>
      </c>
      <c r="AA158" s="75" t="e">
        <f ca="1">SUM($Z$117:Z158)</f>
        <v>#N/A</v>
      </c>
      <c r="AB158" t="e">
        <f t="shared" ca="1" si="130"/>
        <v>#N/A</v>
      </c>
      <c r="AC158" s="78" t="e">
        <f ca="1">SUM($AB$117:AB158)</f>
        <v>#N/A</v>
      </c>
      <c r="AD158" t="e">
        <f t="shared" ca="1" si="131"/>
        <v>#N/A</v>
      </c>
      <c r="AE158" t="e">
        <f t="shared" ca="1" si="132"/>
        <v>#N/A</v>
      </c>
      <c r="AF158" t="e">
        <f t="shared" ca="1" si="133"/>
        <v>#N/A</v>
      </c>
      <c r="AG158" t="e">
        <f t="shared" ca="1" si="116"/>
        <v>#N/A</v>
      </c>
      <c r="AH158" t="e">
        <f t="shared" ca="1" si="106"/>
        <v>#N/A</v>
      </c>
      <c r="AI158" t="e">
        <f t="shared" ca="1" si="107"/>
        <v>#N/A</v>
      </c>
      <c r="AJ158" t="e">
        <f ca="1">SUM($AI$117:AI158)</f>
        <v>#N/A</v>
      </c>
      <c r="AK158" t="e">
        <f t="shared" ca="1" si="114"/>
        <v>#N/A</v>
      </c>
      <c r="AL158" t="e">
        <f ca="1">SUM($AK$117:AK158)</f>
        <v>#N/A</v>
      </c>
      <c r="AM158" s="244" t="e">
        <f t="shared" ca="1" si="120"/>
        <v>#N/A</v>
      </c>
      <c r="AN158" s="248" t="e">
        <f ca="1">SUM($T$117:T158)+SUM($AM$117:AM158)</f>
        <v>#N/A</v>
      </c>
      <c r="AO158" t="e">
        <f t="shared" ca="1" si="117"/>
        <v>#N/A</v>
      </c>
      <c r="AP158" t="e">
        <f ca="1">SUM($AO$117:AO158)</f>
        <v>#N/A</v>
      </c>
      <c r="AQ158" t="e">
        <f t="shared" ca="1" si="108"/>
        <v>#N/A</v>
      </c>
      <c r="AR158" t="e">
        <f t="shared" ca="1" si="100"/>
        <v>#N/A</v>
      </c>
      <c r="AS158" t="e">
        <f t="shared" ca="1" si="121"/>
        <v>#N/A</v>
      </c>
      <c r="AT158" t="e">
        <f t="shared" ca="1" si="122"/>
        <v>#N/A</v>
      </c>
      <c r="AU158" t="e">
        <f t="shared" ca="1" si="111"/>
        <v>#N/A</v>
      </c>
    </row>
    <row r="159" spans="2:47" x14ac:dyDescent="0.25">
      <c r="B159" s="105">
        <f t="shared" si="112"/>
        <v>42</v>
      </c>
      <c r="C159">
        <v>43</v>
      </c>
      <c r="D159" s="78" t="e">
        <f ca="1">'PEP Impact Model'!J61</f>
        <v>#N/A</v>
      </c>
      <c r="E159" s="78" t="e">
        <f t="shared" ca="1" si="135"/>
        <v>#N/A</v>
      </c>
      <c r="F159" t="e">
        <f t="shared" ca="1" si="134"/>
        <v>#N/A</v>
      </c>
      <c r="G159" t="e">
        <f ca="1">SUM($F$117:F159)</f>
        <v>#N/A</v>
      </c>
      <c r="H159" t="e">
        <f t="shared" si="123"/>
        <v>#N/A</v>
      </c>
      <c r="I159" t="e">
        <f t="shared" ca="1" si="124"/>
        <v>#N/A</v>
      </c>
      <c r="J159" t="e">
        <f ca="1">SUM($I$117:I159)</f>
        <v>#N/A</v>
      </c>
      <c r="K159" t="e">
        <f t="shared" ca="1" si="125"/>
        <v>#N/A</v>
      </c>
      <c r="L159" t="e">
        <f t="shared" ca="1" si="126"/>
        <v>#N/A</v>
      </c>
      <c r="M159" s="888">
        <f t="shared" si="102"/>
        <v>0.5</v>
      </c>
      <c r="N159" s="248" t="e">
        <f t="shared" ca="1" si="103"/>
        <v>#N/A</v>
      </c>
      <c r="O159" s="248" t="e">
        <f t="shared" ca="1" si="104"/>
        <v>#N/A</v>
      </c>
      <c r="P159" s="248" t="e">
        <f t="shared" ca="1" si="115"/>
        <v>#N/A</v>
      </c>
      <c r="Q159" s="244" t="e">
        <f ca="1">SUM($P$117:P159)+SUM($V$117:V159)</f>
        <v>#N/A</v>
      </c>
      <c r="R159" s="244" t="e">
        <f t="shared" ca="1" si="118"/>
        <v>#N/A</v>
      </c>
      <c r="S159" s="248" t="e">
        <f ca="1">SUM($R$117:R159)</f>
        <v>#N/A</v>
      </c>
      <c r="T159" s="244" t="e">
        <f t="shared" ca="1" si="119"/>
        <v>#N/A</v>
      </c>
      <c r="U159" s="244" t="e">
        <f ca="1">SUM($T$117:T159)</f>
        <v>#N/A</v>
      </c>
      <c r="V159" t="e">
        <f t="shared" ca="1" si="105"/>
        <v>#N/A</v>
      </c>
      <c r="W159" s="75" t="e">
        <f ca="1">SUM($V$117:V159)</f>
        <v>#N/A</v>
      </c>
      <c r="X159" s="78" t="e">
        <f t="shared" ca="1" si="127"/>
        <v>#N/A</v>
      </c>
      <c r="Y159" t="e">
        <f t="shared" si="128"/>
        <v>#N/A</v>
      </c>
      <c r="Z159" t="e">
        <f t="shared" ca="1" si="129"/>
        <v>#N/A</v>
      </c>
      <c r="AA159" s="75" t="e">
        <f ca="1">SUM($Z$117:Z159)</f>
        <v>#N/A</v>
      </c>
      <c r="AB159" t="e">
        <f t="shared" ca="1" si="130"/>
        <v>#N/A</v>
      </c>
      <c r="AC159" s="78" t="e">
        <f ca="1">SUM($AB$117:AB159)</f>
        <v>#N/A</v>
      </c>
      <c r="AD159" t="e">
        <f t="shared" ca="1" si="131"/>
        <v>#N/A</v>
      </c>
      <c r="AE159" t="e">
        <f t="shared" ca="1" si="132"/>
        <v>#N/A</v>
      </c>
      <c r="AF159" t="e">
        <f t="shared" ca="1" si="133"/>
        <v>#N/A</v>
      </c>
      <c r="AG159" t="e">
        <f t="shared" ca="1" si="116"/>
        <v>#N/A</v>
      </c>
      <c r="AH159" t="e">
        <f t="shared" ca="1" si="106"/>
        <v>#N/A</v>
      </c>
      <c r="AI159" t="e">
        <f t="shared" ca="1" si="107"/>
        <v>#N/A</v>
      </c>
      <c r="AJ159" t="e">
        <f ca="1">SUM($AI$117:AI159)</f>
        <v>#N/A</v>
      </c>
      <c r="AK159" t="e">
        <f t="shared" ca="1" si="114"/>
        <v>#N/A</v>
      </c>
      <c r="AL159" t="e">
        <f ca="1">SUM($AK$117:AK159)</f>
        <v>#N/A</v>
      </c>
      <c r="AM159" s="244" t="e">
        <f t="shared" ca="1" si="120"/>
        <v>#N/A</v>
      </c>
      <c r="AN159" s="248" t="e">
        <f ca="1">SUM($T$117:T159)+SUM($AM$117:AM159)</f>
        <v>#N/A</v>
      </c>
      <c r="AO159" t="e">
        <f t="shared" ca="1" si="117"/>
        <v>#N/A</v>
      </c>
      <c r="AP159" t="e">
        <f ca="1">SUM($AO$117:AO159)</f>
        <v>#N/A</v>
      </c>
      <c r="AQ159" t="e">
        <f t="shared" ca="1" si="108"/>
        <v>#N/A</v>
      </c>
      <c r="AR159" t="e">
        <f t="shared" ca="1" si="100"/>
        <v>#N/A</v>
      </c>
      <c r="AS159" t="e">
        <f t="shared" ca="1" si="121"/>
        <v>#N/A</v>
      </c>
      <c r="AT159" t="e">
        <f t="shared" ca="1" si="122"/>
        <v>#N/A</v>
      </c>
      <c r="AU159" t="e">
        <f t="shared" ca="1" si="111"/>
        <v>#N/A</v>
      </c>
    </row>
    <row r="160" spans="2:47" x14ac:dyDescent="0.25">
      <c r="B160" s="105">
        <f t="shared" si="112"/>
        <v>43</v>
      </c>
      <c r="C160">
        <v>44</v>
      </c>
      <c r="D160" s="78" t="e">
        <f ca="1">'PEP Impact Model'!J62</f>
        <v>#N/A</v>
      </c>
      <c r="E160" s="78" t="e">
        <f t="shared" ca="1" si="135"/>
        <v>#N/A</v>
      </c>
      <c r="F160" t="e">
        <f t="shared" ca="1" si="134"/>
        <v>#N/A</v>
      </c>
      <c r="G160" t="e">
        <f ca="1">SUM($F$117:F160)</f>
        <v>#N/A</v>
      </c>
      <c r="H160" t="e">
        <f t="shared" si="123"/>
        <v>#N/A</v>
      </c>
      <c r="I160" t="e">
        <f t="shared" ca="1" si="124"/>
        <v>#N/A</v>
      </c>
      <c r="J160" t="e">
        <f ca="1">SUM($I$117:I160)</f>
        <v>#N/A</v>
      </c>
      <c r="K160" t="e">
        <f t="shared" ca="1" si="125"/>
        <v>#N/A</v>
      </c>
      <c r="L160" t="e">
        <f t="shared" ca="1" si="126"/>
        <v>#N/A</v>
      </c>
      <c r="M160" s="888">
        <f t="shared" si="102"/>
        <v>0.5</v>
      </c>
      <c r="N160" s="248" t="e">
        <f t="shared" ca="1" si="103"/>
        <v>#N/A</v>
      </c>
      <c r="O160" s="248" t="e">
        <f t="shared" ca="1" si="104"/>
        <v>#N/A</v>
      </c>
      <c r="P160" s="248" t="e">
        <f t="shared" ca="1" si="115"/>
        <v>#N/A</v>
      </c>
      <c r="Q160" s="244" t="e">
        <f ca="1">SUM($P$117:P160)+SUM($V$117:V160)</f>
        <v>#N/A</v>
      </c>
      <c r="R160" s="244" t="e">
        <f t="shared" ca="1" si="118"/>
        <v>#N/A</v>
      </c>
      <c r="S160" s="248" t="e">
        <f ca="1">SUM($R$117:R160)</f>
        <v>#N/A</v>
      </c>
      <c r="T160" s="244" t="e">
        <f t="shared" ca="1" si="119"/>
        <v>#N/A</v>
      </c>
      <c r="U160" s="244" t="e">
        <f ca="1">SUM($T$117:T160)</f>
        <v>#N/A</v>
      </c>
      <c r="V160" t="e">
        <f t="shared" ca="1" si="105"/>
        <v>#N/A</v>
      </c>
      <c r="W160" s="75" t="e">
        <f ca="1">SUM($V$117:V160)</f>
        <v>#N/A</v>
      </c>
      <c r="X160" s="78" t="e">
        <f t="shared" ca="1" si="127"/>
        <v>#N/A</v>
      </c>
      <c r="Y160" t="e">
        <f t="shared" si="128"/>
        <v>#N/A</v>
      </c>
      <c r="Z160" t="e">
        <f t="shared" ca="1" si="129"/>
        <v>#N/A</v>
      </c>
      <c r="AA160" s="75" t="e">
        <f ca="1">SUM($Z$117:Z160)</f>
        <v>#N/A</v>
      </c>
      <c r="AB160" t="e">
        <f t="shared" ca="1" si="130"/>
        <v>#N/A</v>
      </c>
      <c r="AC160" s="78" t="e">
        <f ca="1">SUM($AB$117:AB160)</f>
        <v>#N/A</v>
      </c>
      <c r="AD160" t="e">
        <f t="shared" ca="1" si="131"/>
        <v>#N/A</v>
      </c>
      <c r="AE160" t="e">
        <f t="shared" ca="1" si="132"/>
        <v>#N/A</v>
      </c>
      <c r="AF160" t="e">
        <f t="shared" ca="1" si="133"/>
        <v>#N/A</v>
      </c>
      <c r="AG160" t="e">
        <f t="shared" ca="1" si="116"/>
        <v>#N/A</v>
      </c>
      <c r="AH160" t="e">
        <f t="shared" ca="1" si="106"/>
        <v>#N/A</v>
      </c>
      <c r="AI160" t="e">
        <f t="shared" ca="1" si="107"/>
        <v>#N/A</v>
      </c>
      <c r="AJ160" t="e">
        <f ca="1">SUM($AI$117:AI160)</f>
        <v>#N/A</v>
      </c>
      <c r="AK160" t="e">
        <f t="shared" ca="1" si="114"/>
        <v>#N/A</v>
      </c>
      <c r="AL160" t="e">
        <f ca="1">SUM($AK$117:AK160)</f>
        <v>#N/A</v>
      </c>
      <c r="AM160" s="244" t="e">
        <f t="shared" ca="1" si="120"/>
        <v>#N/A</v>
      </c>
      <c r="AN160" s="248" t="e">
        <f ca="1">SUM($T$117:T160)+SUM($AM$117:AM160)</f>
        <v>#N/A</v>
      </c>
      <c r="AO160" t="e">
        <f t="shared" ca="1" si="117"/>
        <v>#N/A</v>
      </c>
      <c r="AP160" t="e">
        <f ca="1">SUM($AO$117:AO160)</f>
        <v>#N/A</v>
      </c>
      <c r="AQ160" t="e">
        <f t="shared" ca="1" si="108"/>
        <v>#N/A</v>
      </c>
      <c r="AR160" t="e">
        <f t="shared" ca="1" si="100"/>
        <v>#N/A</v>
      </c>
      <c r="AS160" t="e">
        <f t="shared" ca="1" si="121"/>
        <v>#N/A</v>
      </c>
      <c r="AT160" t="e">
        <f t="shared" ca="1" si="122"/>
        <v>#N/A</v>
      </c>
      <c r="AU160" t="e">
        <f t="shared" ca="1" si="111"/>
        <v>#N/A</v>
      </c>
    </row>
    <row r="161" spans="2:52" x14ac:dyDescent="0.25">
      <c r="B161" s="105">
        <f t="shared" si="112"/>
        <v>44</v>
      </c>
      <c r="C161">
        <v>45</v>
      </c>
      <c r="D161" s="78" t="e">
        <f ca="1">'PEP Impact Model'!J63</f>
        <v>#N/A</v>
      </c>
      <c r="E161" s="78" t="e">
        <f t="shared" ca="1" si="135"/>
        <v>#N/A</v>
      </c>
      <c r="F161" t="e">
        <f t="shared" ca="1" si="134"/>
        <v>#N/A</v>
      </c>
      <c r="G161" t="e">
        <f ca="1">SUM($F$117:F161)</f>
        <v>#N/A</v>
      </c>
      <c r="H161" t="e">
        <f t="shared" si="123"/>
        <v>#N/A</v>
      </c>
      <c r="I161" t="e">
        <f t="shared" ca="1" si="124"/>
        <v>#N/A</v>
      </c>
      <c r="J161" t="e">
        <f ca="1">SUM($I$117:I161)</f>
        <v>#N/A</v>
      </c>
      <c r="K161" t="e">
        <f t="shared" ca="1" si="125"/>
        <v>#N/A</v>
      </c>
      <c r="L161" t="e">
        <f t="shared" ca="1" si="126"/>
        <v>#N/A</v>
      </c>
      <c r="M161" s="888">
        <f t="shared" si="102"/>
        <v>0.5</v>
      </c>
      <c r="N161" s="248" t="e">
        <f t="shared" ca="1" si="103"/>
        <v>#N/A</v>
      </c>
      <c r="O161" s="248" t="e">
        <f t="shared" ca="1" si="104"/>
        <v>#N/A</v>
      </c>
      <c r="P161" s="248" t="e">
        <f t="shared" ca="1" si="115"/>
        <v>#N/A</v>
      </c>
      <c r="Q161" s="244" t="e">
        <f ca="1">SUM($P$117:P161)+SUM($V$117:V161)</f>
        <v>#N/A</v>
      </c>
      <c r="R161" s="244" t="e">
        <f t="shared" ca="1" si="118"/>
        <v>#N/A</v>
      </c>
      <c r="S161" s="248" t="e">
        <f ca="1">SUM($R$117:R161)</f>
        <v>#N/A</v>
      </c>
      <c r="T161" s="244" t="e">
        <f t="shared" ca="1" si="119"/>
        <v>#N/A</v>
      </c>
      <c r="U161" s="244" t="e">
        <f ca="1">SUM($T$117:T161)</f>
        <v>#N/A</v>
      </c>
      <c r="V161" t="e">
        <f t="shared" ca="1" si="105"/>
        <v>#N/A</v>
      </c>
      <c r="W161" s="75" t="e">
        <f ca="1">SUM($V$117:V161)</f>
        <v>#N/A</v>
      </c>
      <c r="X161" s="78" t="e">
        <f t="shared" ca="1" si="127"/>
        <v>#N/A</v>
      </c>
      <c r="Y161" t="e">
        <f t="shared" si="128"/>
        <v>#N/A</v>
      </c>
      <c r="Z161" t="e">
        <f t="shared" ca="1" si="129"/>
        <v>#N/A</v>
      </c>
      <c r="AA161" s="75" t="e">
        <f ca="1">SUM($Z$117:Z161)</f>
        <v>#N/A</v>
      </c>
      <c r="AB161" t="e">
        <f t="shared" ca="1" si="130"/>
        <v>#N/A</v>
      </c>
      <c r="AC161" s="78" t="e">
        <f ca="1">SUM($AB$117:AB161)</f>
        <v>#N/A</v>
      </c>
      <c r="AD161" t="e">
        <f t="shared" ca="1" si="131"/>
        <v>#N/A</v>
      </c>
      <c r="AE161" t="e">
        <f t="shared" ca="1" si="132"/>
        <v>#N/A</v>
      </c>
      <c r="AF161" t="e">
        <f t="shared" ca="1" si="133"/>
        <v>#N/A</v>
      </c>
      <c r="AG161" t="e">
        <f t="shared" ca="1" si="116"/>
        <v>#N/A</v>
      </c>
      <c r="AH161" t="e">
        <f t="shared" ca="1" si="106"/>
        <v>#N/A</v>
      </c>
      <c r="AI161" t="e">
        <f t="shared" ca="1" si="107"/>
        <v>#N/A</v>
      </c>
      <c r="AJ161" t="e">
        <f ca="1">SUM($AI$117:AI161)</f>
        <v>#N/A</v>
      </c>
      <c r="AK161" t="e">
        <f t="shared" ca="1" si="114"/>
        <v>#N/A</v>
      </c>
      <c r="AL161" t="e">
        <f ca="1">SUM($AK$117:AK161)</f>
        <v>#N/A</v>
      </c>
      <c r="AM161" s="244" t="e">
        <f t="shared" ca="1" si="120"/>
        <v>#N/A</v>
      </c>
      <c r="AN161" s="248" t="e">
        <f ca="1">SUM($T$117:T161)+SUM($AM$117:AM161)</f>
        <v>#N/A</v>
      </c>
      <c r="AO161" t="e">
        <f t="shared" ca="1" si="117"/>
        <v>#N/A</v>
      </c>
      <c r="AP161" t="e">
        <f ca="1">SUM($AO$117:AO161)</f>
        <v>#N/A</v>
      </c>
      <c r="AQ161" t="e">
        <f t="shared" ca="1" si="108"/>
        <v>#N/A</v>
      </c>
      <c r="AR161" t="e">
        <f t="shared" ca="1" si="100"/>
        <v>#N/A</v>
      </c>
      <c r="AS161" t="e">
        <f t="shared" ca="1" si="121"/>
        <v>#N/A</v>
      </c>
      <c r="AT161" t="e">
        <f t="shared" ca="1" si="122"/>
        <v>#N/A</v>
      </c>
      <c r="AU161" t="e">
        <f t="shared" ca="1" si="111"/>
        <v>#N/A</v>
      </c>
    </row>
    <row r="162" spans="2:52" x14ac:dyDescent="0.25">
      <c r="B162" s="105">
        <f t="shared" si="112"/>
        <v>45</v>
      </c>
      <c r="C162">
        <v>46</v>
      </c>
      <c r="D162" s="78" t="e">
        <f ca="1">'PEP Impact Model'!J64</f>
        <v>#N/A</v>
      </c>
      <c r="E162" s="78" t="e">
        <f t="shared" ca="1" si="135"/>
        <v>#N/A</v>
      </c>
      <c r="F162" t="e">
        <f t="shared" ca="1" si="134"/>
        <v>#N/A</v>
      </c>
      <c r="G162" t="e">
        <f ca="1">SUM($F$117:F162)</f>
        <v>#N/A</v>
      </c>
      <c r="H162" t="e">
        <f t="shared" si="123"/>
        <v>#N/A</v>
      </c>
      <c r="I162" t="e">
        <f t="shared" ca="1" si="124"/>
        <v>#N/A</v>
      </c>
      <c r="J162" t="e">
        <f ca="1">SUM($I$117:I162)</f>
        <v>#N/A</v>
      </c>
      <c r="K162" t="e">
        <f t="shared" ca="1" si="125"/>
        <v>#N/A</v>
      </c>
      <c r="L162" t="e">
        <f t="shared" ca="1" si="126"/>
        <v>#N/A</v>
      </c>
      <c r="M162" s="888">
        <f t="shared" si="102"/>
        <v>0.5</v>
      </c>
      <c r="N162" s="248" t="e">
        <f t="shared" ca="1" si="103"/>
        <v>#N/A</v>
      </c>
      <c r="O162" s="248" t="e">
        <f t="shared" ca="1" si="104"/>
        <v>#N/A</v>
      </c>
      <c r="P162" s="248" t="e">
        <f t="shared" ca="1" si="115"/>
        <v>#N/A</v>
      </c>
      <c r="Q162" s="244" t="e">
        <f ca="1">SUM($P$117:P162)+SUM($V$117:V162)</f>
        <v>#N/A</v>
      </c>
      <c r="R162" s="244" t="e">
        <f t="shared" ca="1" si="118"/>
        <v>#N/A</v>
      </c>
      <c r="S162" s="248" t="e">
        <f ca="1">SUM($R$117:R162)</f>
        <v>#N/A</v>
      </c>
      <c r="T162" s="244" t="e">
        <f t="shared" ca="1" si="119"/>
        <v>#N/A</v>
      </c>
      <c r="U162" s="244" t="e">
        <f ca="1">SUM($T$117:T162)</f>
        <v>#N/A</v>
      </c>
      <c r="V162" t="e">
        <f t="shared" ca="1" si="105"/>
        <v>#N/A</v>
      </c>
      <c r="W162" s="75" t="e">
        <f ca="1">SUM($V$117:V162)</f>
        <v>#N/A</v>
      </c>
      <c r="X162" s="78" t="e">
        <f t="shared" ca="1" si="127"/>
        <v>#N/A</v>
      </c>
      <c r="Y162" t="e">
        <f t="shared" si="128"/>
        <v>#N/A</v>
      </c>
      <c r="Z162" t="e">
        <f t="shared" ca="1" si="129"/>
        <v>#N/A</v>
      </c>
      <c r="AA162" s="75" t="e">
        <f ca="1">SUM($Z$117:Z162)</f>
        <v>#N/A</v>
      </c>
      <c r="AB162" t="e">
        <f t="shared" ca="1" si="130"/>
        <v>#N/A</v>
      </c>
      <c r="AC162" s="78" t="e">
        <f ca="1">SUM($AB$117:AB162)</f>
        <v>#N/A</v>
      </c>
      <c r="AD162" t="e">
        <f t="shared" ca="1" si="131"/>
        <v>#N/A</v>
      </c>
      <c r="AE162" t="e">
        <f t="shared" ca="1" si="132"/>
        <v>#N/A</v>
      </c>
      <c r="AF162" t="e">
        <f t="shared" ca="1" si="133"/>
        <v>#N/A</v>
      </c>
      <c r="AG162" t="e">
        <f t="shared" ca="1" si="116"/>
        <v>#N/A</v>
      </c>
      <c r="AH162" t="e">
        <f t="shared" ca="1" si="106"/>
        <v>#N/A</v>
      </c>
      <c r="AI162" t="e">
        <f t="shared" ca="1" si="107"/>
        <v>#N/A</v>
      </c>
      <c r="AJ162" t="e">
        <f ca="1">SUM($AI$117:AI162)</f>
        <v>#N/A</v>
      </c>
      <c r="AK162" t="e">
        <f t="shared" ca="1" si="114"/>
        <v>#N/A</v>
      </c>
      <c r="AL162" t="e">
        <f ca="1">SUM($AK$117:AK162)</f>
        <v>#N/A</v>
      </c>
      <c r="AM162" s="244" t="e">
        <f t="shared" ca="1" si="120"/>
        <v>#N/A</v>
      </c>
      <c r="AN162" s="248" t="e">
        <f ca="1">SUM($T$117:T162)+SUM($AM$117:AM162)</f>
        <v>#N/A</v>
      </c>
      <c r="AO162" t="e">
        <f t="shared" ca="1" si="117"/>
        <v>#N/A</v>
      </c>
      <c r="AP162" t="e">
        <f ca="1">SUM($AO$117:AO162)</f>
        <v>#N/A</v>
      </c>
      <c r="AQ162" t="e">
        <f t="shared" ca="1" si="108"/>
        <v>#N/A</v>
      </c>
      <c r="AR162" t="e">
        <f t="shared" ca="1" si="100"/>
        <v>#N/A</v>
      </c>
      <c r="AS162" t="e">
        <f t="shared" ca="1" si="121"/>
        <v>#N/A</v>
      </c>
      <c r="AT162" t="e">
        <f t="shared" ca="1" si="122"/>
        <v>#N/A</v>
      </c>
      <c r="AU162" t="e">
        <f t="shared" ca="1" si="111"/>
        <v>#N/A</v>
      </c>
    </row>
    <row r="163" spans="2:52" x14ac:dyDescent="0.25">
      <c r="B163" s="105">
        <f t="shared" si="112"/>
        <v>46</v>
      </c>
      <c r="C163">
        <v>47</v>
      </c>
      <c r="D163" s="78" t="e">
        <f ca="1">'PEP Impact Model'!J65</f>
        <v>#N/A</v>
      </c>
      <c r="E163" s="78" t="e">
        <f t="shared" ca="1" si="135"/>
        <v>#N/A</v>
      </c>
      <c r="F163" t="e">
        <f t="shared" ca="1" si="134"/>
        <v>#N/A</v>
      </c>
      <c r="G163" t="e">
        <f ca="1">SUM($F$117:F163)</f>
        <v>#N/A</v>
      </c>
      <c r="H163" t="e">
        <f t="shared" si="123"/>
        <v>#N/A</v>
      </c>
      <c r="I163" t="e">
        <f t="shared" ca="1" si="124"/>
        <v>#N/A</v>
      </c>
      <c r="J163" t="e">
        <f ca="1">SUM($I$117:I163)</f>
        <v>#N/A</v>
      </c>
      <c r="K163" t="e">
        <f t="shared" ca="1" si="125"/>
        <v>#N/A</v>
      </c>
      <c r="L163" t="e">
        <f t="shared" ca="1" si="126"/>
        <v>#N/A</v>
      </c>
      <c r="M163" s="888">
        <f t="shared" si="102"/>
        <v>0.5</v>
      </c>
      <c r="N163" s="248" t="e">
        <f t="shared" ca="1" si="103"/>
        <v>#N/A</v>
      </c>
      <c r="O163" s="248" t="e">
        <f t="shared" ca="1" si="104"/>
        <v>#N/A</v>
      </c>
      <c r="P163" s="248" t="e">
        <f t="shared" ca="1" si="115"/>
        <v>#N/A</v>
      </c>
      <c r="Q163" s="244" t="e">
        <f ca="1">SUM($P$117:P163)+SUM($V$117:V163)</f>
        <v>#N/A</v>
      </c>
      <c r="R163" s="244" t="e">
        <f t="shared" ca="1" si="118"/>
        <v>#N/A</v>
      </c>
      <c r="S163" s="248" t="e">
        <f ca="1">SUM($R$117:R163)</f>
        <v>#N/A</v>
      </c>
      <c r="T163" s="244" t="e">
        <f t="shared" ca="1" si="119"/>
        <v>#N/A</v>
      </c>
      <c r="U163" s="244" t="e">
        <f ca="1">SUM($T$117:T163)</f>
        <v>#N/A</v>
      </c>
      <c r="V163" t="e">
        <f t="shared" ca="1" si="105"/>
        <v>#N/A</v>
      </c>
      <c r="W163" s="75" t="e">
        <f ca="1">SUM($V$117:V163)</f>
        <v>#N/A</v>
      </c>
      <c r="X163" s="78" t="e">
        <f t="shared" ca="1" si="127"/>
        <v>#N/A</v>
      </c>
      <c r="Y163" t="e">
        <f t="shared" si="128"/>
        <v>#N/A</v>
      </c>
      <c r="Z163" t="e">
        <f t="shared" ca="1" si="129"/>
        <v>#N/A</v>
      </c>
      <c r="AA163" s="75" t="e">
        <f ca="1">SUM($Z$117:Z163)</f>
        <v>#N/A</v>
      </c>
      <c r="AB163" t="e">
        <f t="shared" ca="1" si="130"/>
        <v>#N/A</v>
      </c>
      <c r="AC163" s="78" t="e">
        <f ca="1">SUM($AB$117:AB163)</f>
        <v>#N/A</v>
      </c>
      <c r="AD163" t="e">
        <f t="shared" ca="1" si="131"/>
        <v>#N/A</v>
      </c>
      <c r="AE163" t="e">
        <f t="shared" ca="1" si="132"/>
        <v>#N/A</v>
      </c>
      <c r="AF163" t="e">
        <f t="shared" ca="1" si="133"/>
        <v>#N/A</v>
      </c>
      <c r="AG163" t="e">
        <f t="shared" ca="1" si="116"/>
        <v>#N/A</v>
      </c>
      <c r="AH163" t="e">
        <f t="shared" ca="1" si="106"/>
        <v>#N/A</v>
      </c>
      <c r="AI163" t="e">
        <f t="shared" ca="1" si="107"/>
        <v>#N/A</v>
      </c>
      <c r="AJ163" t="e">
        <f ca="1">SUM($AI$117:AI163)</f>
        <v>#N/A</v>
      </c>
      <c r="AK163" t="e">
        <f t="shared" ca="1" si="114"/>
        <v>#N/A</v>
      </c>
      <c r="AL163" t="e">
        <f ca="1">SUM($AK$117:AK163)</f>
        <v>#N/A</v>
      </c>
      <c r="AM163" s="244" t="e">
        <f t="shared" ca="1" si="120"/>
        <v>#N/A</v>
      </c>
      <c r="AN163" s="248" t="e">
        <f ca="1">SUM($T$117:T163)+SUM($AM$117:AM163)</f>
        <v>#N/A</v>
      </c>
      <c r="AO163" t="e">
        <f t="shared" ca="1" si="117"/>
        <v>#N/A</v>
      </c>
      <c r="AP163" t="e">
        <f ca="1">SUM($AO$117:AO163)</f>
        <v>#N/A</v>
      </c>
      <c r="AQ163" t="e">
        <f t="shared" ca="1" si="108"/>
        <v>#N/A</v>
      </c>
      <c r="AR163" t="e">
        <f t="shared" ca="1" si="100"/>
        <v>#N/A</v>
      </c>
      <c r="AS163" t="e">
        <f t="shared" ca="1" si="121"/>
        <v>#N/A</v>
      </c>
      <c r="AT163" t="e">
        <f t="shared" ca="1" si="122"/>
        <v>#N/A</v>
      </c>
      <c r="AU163" t="e">
        <f t="shared" ca="1" si="111"/>
        <v>#N/A</v>
      </c>
    </row>
    <row r="164" spans="2:52" x14ac:dyDescent="0.25">
      <c r="B164" s="105">
        <f t="shared" si="112"/>
        <v>47</v>
      </c>
      <c r="C164">
        <v>48</v>
      </c>
      <c r="D164" s="78" t="e">
        <f ca="1">'PEP Impact Model'!J66</f>
        <v>#N/A</v>
      </c>
      <c r="E164" s="78" t="e">
        <f t="shared" ca="1" si="135"/>
        <v>#N/A</v>
      </c>
      <c r="F164" t="e">
        <f t="shared" ca="1" si="134"/>
        <v>#N/A</v>
      </c>
      <c r="G164" t="e">
        <f ca="1">SUM($F$117:F164)</f>
        <v>#N/A</v>
      </c>
      <c r="H164" t="e">
        <f t="shared" si="123"/>
        <v>#N/A</v>
      </c>
      <c r="I164" t="e">
        <f t="shared" ca="1" si="124"/>
        <v>#N/A</v>
      </c>
      <c r="J164" t="e">
        <f ca="1">SUM($I$117:I164)</f>
        <v>#N/A</v>
      </c>
      <c r="K164" t="e">
        <f t="shared" ca="1" si="125"/>
        <v>#N/A</v>
      </c>
      <c r="L164" t="e">
        <f t="shared" ca="1" si="126"/>
        <v>#N/A</v>
      </c>
      <c r="M164" s="888">
        <f t="shared" si="102"/>
        <v>0.5</v>
      </c>
      <c r="N164" s="248" t="e">
        <f t="shared" ca="1" si="103"/>
        <v>#N/A</v>
      </c>
      <c r="O164" s="248" t="e">
        <f t="shared" ca="1" si="104"/>
        <v>#N/A</v>
      </c>
      <c r="P164" s="248" t="e">
        <f t="shared" ca="1" si="115"/>
        <v>#N/A</v>
      </c>
      <c r="Q164" s="244" t="e">
        <f ca="1">SUM($P$117:P164)+SUM($V$117:V164)</f>
        <v>#N/A</v>
      </c>
      <c r="R164" s="244" t="e">
        <f t="shared" ca="1" si="118"/>
        <v>#N/A</v>
      </c>
      <c r="S164" s="248" t="e">
        <f ca="1">SUM($R$117:R164)</f>
        <v>#N/A</v>
      </c>
      <c r="T164" s="244" t="e">
        <f t="shared" ca="1" si="119"/>
        <v>#N/A</v>
      </c>
      <c r="U164" s="244" t="e">
        <f ca="1">SUM($T$117:T164)</f>
        <v>#N/A</v>
      </c>
      <c r="V164" t="e">
        <f t="shared" ca="1" si="105"/>
        <v>#N/A</v>
      </c>
      <c r="W164" s="75" t="e">
        <f ca="1">SUM($V$117:V164)</f>
        <v>#N/A</v>
      </c>
      <c r="X164" s="78" t="e">
        <f t="shared" ca="1" si="127"/>
        <v>#N/A</v>
      </c>
      <c r="Y164" t="e">
        <f t="shared" si="128"/>
        <v>#N/A</v>
      </c>
      <c r="Z164" t="e">
        <f t="shared" ca="1" si="129"/>
        <v>#N/A</v>
      </c>
      <c r="AA164" s="75" t="e">
        <f ca="1">SUM($Z$117:Z164)</f>
        <v>#N/A</v>
      </c>
      <c r="AB164" t="e">
        <f t="shared" ca="1" si="130"/>
        <v>#N/A</v>
      </c>
      <c r="AC164" s="78" t="e">
        <f ca="1">SUM($AB$117:AB164)</f>
        <v>#N/A</v>
      </c>
      <c r="AD164" t="e">
        <f t="shared" ca="1" si="131"/>
        <v>#N/A</v>
      </c>
      <c r="AE164" t="e">
        <f t="shared" ca="1" si="132"/>
        <v>#N/A</v>
      </c>
      <c r="AF164" t="e">
        <f t="shared" ca="1" si="133"/>
        <v>#N/A</v>
      </c>
      <c r="AG164" t="e">
        <f t="shared" ca="1" si="116"/>
        <v>#N/A</v>
      </c>
      <c r="AH164" t="e">
        <f t="shared" ca="1" si="106"/>
        <v>#N/A</v>
      </c>
      <c r="AI164" t="e">
        <f t="shared" ca="1" si="107"/>
        <v>#N/A</v>
      </c>
      <c r="AJ164" t="e">
        <f ca="1">SUM($AI$117:AI164)</f>
        <v>#N/A</v>
      </c>
      <c r="AK164" t="e">
        <f t="shared" ca="1" si="114"/>
        <v>#N/A</v>
      </c>
      <c r="AL164" t="e">
        <f ca="1">SUM($AK$117:AK164)</f>
        <v>#N/A</v>
      </c>
      <c r="AM164" s="244" t="e">
        <f t="shared" ca="1" si="120"/>
        <v>#N/A</v>
      </c>
      <c r="AN164" s="248" t="e">
        <f ca="1">SUM($T$117:T164)+SUM($AM$117:AM164)</f>
        <v>#N/A</v>
      </c>
      <c r="AO164" t="e">
        <f t="shared" ca="1" si="117"/>
        <v>#N/A</v>
      </c>
      <c r="AP164" t="e">
        <f ca="1">SUM($AO$117:AO164)</f>
        <v>#N/A</v>
      </c>
      <c r="AQ164" t="e">
        <f t="shared" ca="1" si="108"/>
        <v>#N/A</v>
      </c>
      <c r="AR164" t="e">
        <f t="shared" ca="1" si="100"/>
        <v>#N/A</v>
      </c>
      <c r="AS164" t="e">
        <f t="shared" ca="1" si="121"/>
        <v>#N/A</v>
      </c>
      <c r="AT164" t="e">
        <f t="shared" ca="1" si="122"/>
        <v>#N/A</v>
      </c>
      <c r="AU164" t="e">
        <f t="shared" ca="1" si="111"/>
        <v>#N/A</v>
      </c>
    </row>
    <row r="165" spans="2:52" x14ac:dyDescent="0.25">
      <c r="B165" s="105">
        <f t="shared" si="112"/>
        <v>48</v>
      </c>
      <c r="C165">
        <v>49</v>
      </c>
      <c r="D165" s="78" t="e">
        <f ca="1">'PEP Impact Model'!J67</f>
        <v>#N/A</v>
      </c>
      <c r="E165" s="78" t="e">
        <f t="shared" ca="1" si="135"/>
        <v>#N/A</v>
      </c>
      <c r="F165" t="e">
        <f t="shared" ca="1" si="134"/>
        <v>#N/A</v>
      </c>
      <c r="G165" t="e">
        <f ca="1">SUM($F$117:F165)</f>
        <v>#N/A</v>
      </c>
      <c r="H165" t="e">
        <f t="shared" si="123"/>
        <v>#N/A</v>
      </c>
      <c r="I165" t="e">
        <f t="shared" ca="1" si="124"/>
        <v>#N/A</v>
      </c>
      <c r="J165" t="e">
        <f ca="1">SUM($I$117:I165)</f>
        <v>#N/A</v>
      </c>
      <c r="K165" t="e">
        <f t="shared" ca="1" si="125"/>
        <v>#N/A</v>
      </c>
      <c r="L165" t="e">
        <f t="shared" ca="1" si="126"/>
        <v>#N/A</v>
      </c>
      <c r="M165" s="888">
        <f t="shared" si="102"/>
        <v>0.5</v>
      </c>
      <c r="N165" s="248" t="e">
        <f t="shared" ca="1" si="103"/>
        <v>#N/A</v>
      </c>
      <c r="O165" s="248" t="e">
        <f t="shared" ca="1" si="104"/>
        <v>#N/A</v>
      </c>
      <c r="P165" s="248" t="e">
        <f t="shared" ca="1" si="115"/>
        <v>#N/A</v>
      </c>
      <c r="Q165" s="244" t="e">
        <f ca="1">SUM($P$117:P165)+SUM($V$117:V165)</f>
        <v>#N/A</v>
      </c>
      <c r="R165" s="244" t="e">
        <f t="shared" ca="1" si="118"/>
        <v>#N/A</v>
      </c>
      <c r="S165" s="248" t="e">
        <f ca="1">SUM($R$117:R165)</f>
        <v>#N/A</v>
      </c>
      <c r="T165" s="244" t="e">
        <f t="shared" ca="1" si="119"/>
        <v>#N/A</v>
      </c>
      <c r="U165" s="244" t="e">
        <f ca="1">SUM($T$117:T165)</f>
        <v>#N/A</v>
      </c>
      <c r="V165" t="e">
        <f t="shared" ca="1" si="105"/>
        <v>#N/A</v>
      </c>
      <c r="W165" s="75" t="e">
        <f ca="1">SUM($V$117:V165)</f>
        <v>#N/A</v>
      </c>
      <c r="X165" s="78" t="e">
        <f t="shared" ca="1" si="127"/>
        <v>#N/A</v>
      </c>
      <c r="Y165" t="e">
        <f t="shared" si="128"/>
        <v>#N/A</v>
      </c>
      <c r="Z165" t="e">
        <f t="shared" ca="1" si="129"/>
        <v>#N/A</v>
      </c>
      <c r="AA165" s="75" t="e">
        <f ca="1">SUM($Z$117:Z165)</f>
        <v>#N/A</v>
      </c>
      <c r="AB165" t="e">
        <f t="shared" ca="1" si="130"/>
        <v>#N/A</v>
      </c>
      <c r="AC165" s="78" t="e">
        <f ca="1">SUM($AB$117:AB165)</f>
        <v>#N/A</v>
      </c>
      <c r="AD165" t="e">
        <f t="shared" ca="1" si="131"/>
        <v>#N/A</v>
      </c>
      <c r="AE165" t="e">
        <f t="shared" ca="1" si="132"/>
        <v>#N/A</v>
      </c>
      <c r="AF165" t="e">
        <f t="shared" ca="1" si="133"/>
        <v>#N/A</v>
      </c>
      <c r="AG165" t="e">
        <f t="shared" ca="1" si="116"/>
        <v>#N/A</v>
      </c>
      <c r="AH165" t="e">
        <f t="shared" ca="1" si="106"/>
        <v>#N/A</v>
      </c>
      <c r="AI165" t="e">
        <f t="shared" ca="1" si="107"/>
        <v>#N/A</v>
      </c>
      <c r="AJ165" t="e">
        <f ca="1">SUM($AI$117:AI165)</f>
        <v>#N/A</v>
      </c>
      <c r="AK165" t="e">
        <f t="shared" ca="1" si="114"/>
        <v>#N/A</v>
      </c>
      <c r="AL165" t="e">
        <f ca="1">SUM($AK$117:AK165)</f>
        <v>#N/A</v>
      </c>
      <c r="AM165" s="244" t="e">
        <f t="shared" ca="1" si="120"/>
        <v>#N/A</v>
      </c>
      <c r="AN165" s="248" t="e">
        <f ca="1">SUM($T$117:T165)+SUM($AM$117:AM165)</f>
        <v>#N/A</v>
      </c>
      <c r="AO165" t="e">
        <f t="shared" ca="1" si="117"/>
        <v>#N/A</v>
      </c>
      <c r="AP165" t="e">
        <f ca="1">SUM($AO$117:AO165)</f>
        <v>#N/A</v>
      </c>
      <c r="AQ165" t="e">
        <f t="shared" ca="1" si="108"/>
        <v>#N/A</v>
      </c>
      <c r="AR165" t="e">
        <f t="shared" ca="1" si="100"/>
        <v>#N/A</v>
      </c>
      <c r="AS165" t="e">
        <f t="shared" ca="1" si="121"/>
        <v>#N/A</v>
      </c>
      <c r="AT165" t="e">
        <f t="shared" ca="1" si="122"/>
        <v>#N/A</v>
      </c>
      <c r="AU165" t="e">
        <f t="shared" ca="1" si="111"/>
        <v>#N/A</v>
      </c>
    </row>
    <row r="166" spans="2:52" x14ac:dyDescent="0.25">
      <c r="B166" s="105">
        <f t="shared" si="112"/>
        <v>49</v>
      </c>
      <c r="C166">
        <v>50</v>
      </c>
      <c r="D166" s="78" t="e">
        <f ca="1">'PEP Impact Model'!J68</f>
        <v>#N/A</v>
      </c>
      <c r="E166" s="78" t="e">
        <f t="shared" ca="1" si="135"/>
        <v>#N/A</v>
      </c>
      <c r="F166" t="e">
        <f t="shared" ca="1" si="134"/>
        <v>#N/A</v>
      </c>
      <c r="G166" t="e">
        <f ca="1">SUM($F$117:F166)</f>
        <v>#N/A</v>
      </c>
      <c r="H166" t="e">
        <f t="shared" si="123"/>
        <v>#N/A</v>
      </c>
      <c r="I166" t="e">
        <f t="shared" ca="1" si="124"/>
        <v>#N/A</v>
      </c>
      <c r="J166" t="e">
        <f ca="1">SUM($I$117:I166)</f>
        <v>#N/A</v>
      </c>
      <c r="K166" t="e">
        <f t="shared" ca="1" si="125"/>
        <v>#N/A</v>
      </c>
      <c r="L166" t="e">
        <f t="shared" ca="1" si="126"/>
        <v>#N/A</v>
      </c>
      <c r="M166" s="888">
        <f t="shared" si="102"/>
        <v>0.5</v>
      </c>
      <c r="N166" s="248" t="e">
        <f t="shared" ca="1" si="103"/>
        <v>#N/A</v>
      </c>
      <c r="O166" s="248" t="e">
        <f t="shared" ca="1" si="104"/>
        <v>#N/A</v>
      </c>
      <c r="P166" s="248" t="e">
        <f t="shared" ca="1" si="115"/>
        <v>#N/A</v>
      </c>
      <c r="Q166" s="244" t="e">
        <f ca="1">SUM($P$117:P166)+SUM($V$117:V166)</f>
        <v>#N/A</v>
      </c>
      <c r="R166" s="244" t="e">
        <f t="shared" ca="1" si="118"/>
        <v>#N/A</v>
      </c>
      <c r="S166" s="248" t="e">
        <f ca="1">SUM($R$117:R166)</f>
        <v>#N/A</v>
      </c>
      <c r="T166" s="244" t="e">
        <f t="shared" ca="1" si="119"/>
        <v>#N/A</v>
      </c>
      <c r="U166" s="244" t="e">
        <f ca="1">SUM($T$117:T166)</f>
        <v>#N/A</v>
      </c>
      <c r="V166" t="e">
        <f t="shared" ca="1" si="105"/>
        <v>#N/A</v>
      </c>
      <c r="W166" s="75" t="e">
        <f ca="1">SUM($V$117:V166)</f>
        <v>#N/A</v>
      </c>
      <c r="X166" s="78" t="e">
        <f t="shared" ca="1" si="127"/>
        <v>#N/A</v>
      </c>
      <c r="Y166" t="e">
        <f t="shared" si="128"/>
        <v>#N/A</v>
      </c>
      <c r="Z166" t="e">
        <f t="shared" ca="1" si="129"/>
        <v>#N/A</v>
      </c>
      <c r="AA166" s="75" t="e">
        <f ca="1">SUM($Z$117:Z166)</f>
        <v>#N/A</v>
      </c>
      <c r="AB166" t="e">
        <f t="shared" ca="1" si="130"/>
        <v>#N/A</v>
      </c>
      <c r="AC166" s="78" t="e">
        <f ca="1">SUM($AB$117:AB166)</f>
        <v>#N/A</v>
      </c>
      <c r="AD166" t="e">
        <f t="shared" ca="1" si="131"/>
        <v>#N/A</v>
      </c>
      <c r="AE166" t="e">
        <f t="shared" ca="1" si="132"/>
        <v>#N/A</v>
      </c>
      <c r="AF166" t="e">
        <f t="shared" ca="1" si="133"/>
        <v>#N/A</v>
      </c>
      <c r="AG166" t="e">
        <f t="shared" ca="1" si="116"/>
        <v>#N/A</v>
      </c>
      <c r="AH166" t="e">
        <f t="shared" ca="1" si="106"/>
        <v>#N/A</v>
      </c>
      <c r="AI166" t="e">
        <f t="shared" ca="1" si="107"/>
        <v>#N/A</v>
      </c>
      <c r="AJ166" t="e">
        <f ca="1">SUM($AI$117:AI166)</f>
        <v>#N/A</v>
      </c>
      <c r="AK166" t="e">
        <f t="shared" ca="1" si="114"/>
        <v>#N/A</v>
      </c>
      <c r="AL166" t="e">
        <f ca="1">SUM($AK$117:AK166)</f>
        <v>#N/A</v>
      </c>
      <c r="AM166" s="244" t="e">
        <f t="shared" ca="1" si="120"/>
        <v>#N/A</v>
      </c>
      <c r="AN166" s="248" t="e">
        <f ca="1">SUM($T$117:T166)+SUM($AM$117:AM166)</f>
        <v>#N/A</v>
      </c>
      <c r="AO166" t="e">
        <f t="shared" ca="1" si="117"/>
        <v>#N/A</v>
      </c>
      <c r="AP166" t="e">
        <f ca="1">SUM($AO$117:AO166)</f>
        <v>#N/A</v>
      </c>
      <c r="AQ166" t="e">
        <f t="shared" ca="1" si="108"/>
        <v>#N/A</v>
      </c>
      <c r="AR166" t="e">
        <f t="shared" ca="1" si="100"/>
        <v>#N/A</v>
      </c>
      <c r="AS166" t="e">
        <f t="shared" ca="1" si="121"/>
        <v>#N/A</v>
      </c>
      <c r="AT166" t="e">
        <f t="shared" ca="1" si="122"/>
        <v>#N/A</v>
      </c>
      <c r="AU166" t="e">
        <f t="shared" ca="1" si="111"/>
        <v>#N/A</v>
      </c>
    </row>
    <row r="167" spans="2:52" x14ac:dyDescent="0.25">
      <c r="B167" s="105">
        <f t="shared" si="112"/>
        <v>50</v>
      </c>
      <c r="C167">
        <v>51</v>
      </c>
      <c r="D167" s="78" t="e">
        <f ca="1">'PEP Impact Model'!J69</f>
        <v>#N/A</v>
      </c>
      <c r="E167" s="78" t="e">
        <f t="shared" ca="1" si="135"/>
        <v>#N/A</v>
      </c>
      <c r="F167" t="e">
        <f t="shared" ca="1" si="134"/>
        <v>#N/A</v>
      </c>
      <c r="G167" t="e">
        <f ca="1">SUM($F$117:F167)</f>
        <v>#N/A</v>
      </c>
      <c r="H167" t="e">
        <f t="shared" si="123"/>
        <v>#N/A</v>
      </c>
      <c r="I167" t="e">
        <f t="shared" ca="1" si="124"/>
        <v>#N/A</v>
      </c>
      <c r="J167" t="e">
        <f ca="1">SUM($I$117:I167)</f>
        <v>#N/A</v>
      </c>
      <c r="K167" t="e">
        <f t="shared" ca="1" si="125"/>
        <v>#N/A</v>
      </c>
      <c r="L167" t="e">
        <f t="shared" ca="1" si="126"/>
        <v>#N/A</v>
      </c>
      <c r="M167" s="888">
        <f t="shared" si="102"/>
        <v>0.5</v>
      </c>
      <c r="N167" s="248" t="e">
        <f t="shared" ca="1" si="103"/>
        <v>#N/A</v>
      </c>
      <c r="O167" s="248" t="e">
        <f t="shared" ca="1" si="104"/>
        <v>#N/A</v>
      </c>
      <c r="P167" s="248" t="e">
        <f t="shared" ca="1" si="115"/>
        <v>#N/A</v>
      </c>
      <c r="Q167" s="244" t="e">
        <f ca="1">SUM($P$117:P167)+SUM($V$117:V167)</f>
        <v>#N/A</v>
      </c>
      <c r="R167" s="244" t="e">
        <f t="shared" ca="1" si="118"/>
        <v>#N/A</v>
      </c>
      <c r="S167" s="248" t="e">
        <f ca="1">SUM($R$117:R167)</f>
        <v>#N/A</v>
      </c>
      <c r="T167" s="244" t="e">
        <f t="shared" ca="1" si="119"/>
        <v>#N/A</v>
      </c>
      <c r="U167" s="244" t="e">
        <f ca="1">SUM($T$117:T167)</f>
        <v>#N/A</v>
      </c>
      <c r="V167" t="e">
        <f t="shared" ca="1" si="105"/>
        <v>#N/A</v>
      </c>
      <c r="W167" s="75" t="e">
        <f ca="1">SUM($V$117:V167)</f>
        <v>#N/A</v>
      </c>
      <c r="X167" s="78" t="e">
        <f t="shared" ca="1" si="127"/>
        <v>#N/A</v>
      </c>
      <c r="Y167" t="e">
        <f t="shared" si="128"/>
        <v>#N/A</v>
      </c>
      <c r="Z167" t="e">
        <f t="shared" ca="1" si="129"/>
        <v>#N/A</v>
      </c>
      <c r="AA167" s="75" t="e">
        <f ca="1">SUM($Z$117:Z167)</f>
        <v>#N/A</v>
      </c>
      <c r="AB167" t="e">
        <f t="shared" ca="1" si="130"/>
        <v>#N/A</v>
      </c>
      <c r="AC167" s="78" t="e">
        <f ca="1">SUM($AB$117:AB167)</f>
        <v>#N/A</v>
      </c>
      <c r="AD167" t="e">
        <f t="shared" ca="1" si="131"/>
        <v>#N/A</v>
      </c>
      <c r="AE167" t="e">
        <f t="shared" ca="1" si="132"/>
        <v>#N/A</v>
      </c>
      <c r="AF167" t="e">
        <f t="shared" ca="1" si="133"/>
        <v>#N/A</v>
      </c>
      <c r="AG167" t="e">
        <f t="shared" ca="1" si="116"/>
        <v>#N/A</v>
      </c>
      <c r="AH167" t="e">
        <f t="shared" ca="1" si="106"/>
        <v>#N/A</v>
      </c>
      <c r="AI167" t="e">
        <f t="shared" ca="1" si="107"/>
        <v>#N/A</v>
      </c>
      <c r="AJ167" t="e">
        <f ca="1">SUM($AI$117:AI167)</f>
        <v>#N/A</v>
      </c>
      <c r="AK167" t="e">
        <f t="shared" ca="1" si="114"/>
        <v>#N/A</v>
      </c>
      <c r="AL167" t="e">
        <f ca="1">SUM($AK$117:AK167)</f>
        <v>#N/A</v>
      </c>
      <c r="AM167" s="244" t="e">
        <f t="shared" ca="1" si="120"/>
        <v>#N/A</v>
      </c>
      <c r="AN167" s="248" t="e">
        <f ca="1">SUM($T$117:T167)+SUM($AM$117:AM167)</f>
        <v>#N/A</v>
      </c>
      <c r="AO167" t="e">
        <f t="shared" ca="1" si="117"/>
        <v>#N/A</v>
      </c>
      <c r="AP167" t="e">
        <f ca="1">SUM($AO$117:AO167)</f>
        <v>#N/A</v>
      </c>
      <c r="AQ167" t="e">
        <f t="shared" ca="1" si="108"/>
        <v>#N/A</v>
      </c>
      <c r="AR167" t="e">
        <f t="shared" ca="1" si="100"/>
        <v>#N/A</v>
      </c>
      <c r="AS167" t="e">
        <f t="shared" ca="1" si="121"/>
        <v>#N/A</v>
      </c>
      <c r="AT167" t="e">
        <f t="shared" ca="1" si="122"/>
        <v>#N/A</v>
      </c>
      <c r="AU167" t="e">
        <f t="shared" ca="1" si="111"/>
        <v>#N/A</v>
      </c>
    </row>
    <row r="168" spans="2:52" x14ac:dyDescent="0.25">
      <c r="B168" s="105">
        <f t="shared" si="112"/>
        <v>51</v>
      </c>
      <c r="C168">
        <v>52</v>
      </c>
      <c r="D168" s="78" t="e">
        <f ca="1">'PEP Impact Model'!J70</f>
        <v>#N/A</v>
      </c>
      <c r="E168" s="78" t="e">
        <f t="shared" ca="1" si="135"/>
        <v>#N/A</v>
      </c>
      <c r="F168" t="e">
        <f t="shared" ca="1" si="134"/>
        <v>#N/A</v>
      </c>
      <c r="G168" t="e">
        <f ca="1">SUM($F$117:F168)</f>
        <v>#N/A</v>
      </c>
      <c r="H168" t="e">
        <f t="shared" si="123"/>
        <v>#N/A</v>
      </c>
      <c r="I168" t="e">
        <f t="shared" ca="1" si="124"/>
        <v>#N/A</v>
      </c>
      <c r="J168" t="e">
        <f ca="1">SUM($I$117:I168)</f>
        <v>#N/A</v>
      </c>
      <c r="K168" t="e">
        <f t="shared" ca="1" si="125"/>
        <v>#N/A</v>
      </c>
      <c r="L168" t="e">
        <f t="shared" ca="1" si="126"/>
        <v>#N/A</v>
      </c>
      <c r="M168" s="888">
        <f t="shared" si="102"/>
        <v>0.5</v>
      </c>
      <c r="N168" s="248" t="e">
        <f t="shared" ca="1" si="103"/>
        <v>#N/A</v>
      </c>
      <c r="O168" s="248" t="e">
        <f t="shared" ca="1" si="104"/>
        <v>#N/A</v>
      </c>
      <c r="P168" s="248" t="e">
        <f t="shared" ca="1" si="115"/>
        <v>#N/A</v>
      </c>
      <c r="Q168" s="244" t="e">
        <f ca="1">SUM($P$117:P168)+SUM($V$117:V168)</f>
        <v>#N/A</v>
      </c>
      <c r="R168" s="244" t="e">
        <f t="shared" ca="1" si="118"/>
        <v>#N/A</v>
      </c>
      <c r="S168" s="248" t="e">
        <f ca="1">SUM($R$117:R168)</f>
        <v>#N/A</v>
      </c>
      <c r="T168" s="244" t="e">
        <f t="shared" ca="1" si="119"/>
        <v>#N/A</v>
      </c>
      <c r="U168" s="244" t="e">
        <f ca="1">SUM($T$117:T168)</f>
        <v>#N/A</v>
      </c>
      <c r="V168" t="e">
        <f t="shared" ca="1" si="105"/>
        <v>#N/A</v>
      </c>
      <c r="W168" s="75" t="e">
        <f ca="1">SUM($V$117:V168)</f>
        <v>#N/A</v>
      </c>
      <c r="X168" s="78" t="e">
        <f t="shared" ca="1" si="127"/>
        <v>#N/A</v>
      </c>
      <c r="Y168" t="e">
        <f t="shared" si="128"/>
        <v>#N/A</v>
      </c>
      <c r="Z168" t="e">
        <f t="shared" ca="1" si="129"/>
        <v>#N/A</v>
      </c>
      <c r="AA168" s="75" t="e">
        <f ca="1">SUM($Z$117:Z168)</f>
        <v>#N/A</v>
      </c>
      <c r="AB168" t="e">
        <f t="shared" ca="1" si="130"/>
        <v>#N/A</v>
      </c>
      <c r="AC168" s="78" t="e">
        <f ca="1">SUM($AB$117:AB168)</f>
        <v>#N/A</v>
      </c>
      <c r="AD168" t="e">
        <f t="shared" ca="1" si="131"/>
        <v>#N/A</v>
      </c>
      <c r="AE168" t="e">
        <f t="shared" ca="1" si="132"/>
        <v>#N/A</v>
      </c>
      <c r="AF168" t="e">
        <f t="shared" ca="1" si="133"/>
        <v>#N/A</v>
      </c>
      <c r="AG168" t="e">
        <f t="shared" ca="1" si="116"/>
        <v>#N/A</v>
      </c>
      <c r="AH168" t="e">
        <f t="shared" ca="1" si="106"/>
        <v>#N/A</v>
      </c>
      <c r="AI168" t="e">
        <f t="shared" ca="1" si="107"/>
        <v>#N/A</v>
      </c>
      <c r="AJ168" t="e">
        <f ca="1">SUM($AI$117:AI168)</f>
        <v>#N/A</v>
      </c>
      <c r="AK168" t="e">
        <f t="shared" ca="1" si="114"/>
        <v>#N/A</v>
      </c>
      <c r="AL168" t="e">
        <f ca="1">SUM($AK$117:AK168)</f>
        <v>#N/A</v>
      </c>
      <c r="AM168" s="244" t="e">
        <f t="shared" ca="1" si="120"/>
        <v>#N/A</v>
      </c>
      <c r="AN168" s="248" t="e">
        <f ca="1">SUM($T$117:T168)+SUM($AM$117:AM168)</f>
        <v>#N/A</v>
      </c>
      <c r="AO168" t="e">
        <f t="shared" ca="1" si="117"/>
        <v>#N/A</v>
      </c>
      <c r="AP168" t="e">
        <f ca="1">SUM($AO$117:AO168)</f>
        <v>#N/A</v>
      </c>
      <c r="AQ168" t="e">
        <f t="shared" ca="1" si="108"/>
        <v>#N/A</v>
      </c>
      <c r="AR168" t="e">
        <f t="shared" ca="1" si="100"/>
        <v>#N/A</v>
      </c>
      <c r="AS168" t="e">
        <f t="shared" ca="1" si="121"/>
        <v>#N/A</v>
      </c>
      <c r="AT168" t="e">
        <f t="shared" ca="1" si="122"/>
        <v>#N/A</v>
      </c>
      <c r="AU168" t="e">
        <f t="shared" ca="1" si="111"/>
        <v>#N/A</v>
      </c>
    </row>
    <row r="169" spans="2:52" x14ac:dyDescent="0.25">
      <c r="B169" s="105">
        <f t="shared" si="112"/>
        <v>52</v>
      </c>
      <c r="C169">
        <v>53</v>
      </c>
      <c r="D169" s="78" t="e">
        <f ca="1">'PEP Impact Model'!J71</f>
        <v>#N/A</v>
      </c>
      <c r="E169" s="78" t="e">
        <f t="shared" ca="1" si="135"/>
        <v>#N/A</v>
      </c>
      <c r="F169" t="e">
        <f t="shared" ca="1" si="134"/>
        <v>#N/A</v>
      </c>
      <c r="G169" t="e">
        <f ca="1">SUM($F$117:F169)</f>
        <v>#N/A</v>
      </c>
      <c r="H169" t="e">
        <f t="shared" si="123"/>
        <v>#N/A</v>
      </c>
      <c r="I169" t="e">
        <f t="shared" ca="1" si="124"/>
        <v>#N/A</v>
      </c>
      <c r="J169" t="e">
        <f ca="1">SUM($I$117:I169)</f>
        <v>#N/A</v>
      </c>
      <c r="K169" t="e">
        <f t="shared" ca="1" si="125"/>
        <v>#N/A</v>
      </c>
      <c r="L169" t="e">
        <f t="shared" ca="1" si="126"/>
        <v>#N/A</v>
      </c>
      <c r="M169" s="888">
        <f t="shared" si="102"/>
        <v>0.5</v>
      </c>
      <c r="N169" s="248" t="e">
        <f t="shared" ca="1" si="103"/>
        <v>#N/A</v>
      </c>
      <c r="O169" s="248" t="e">
        <f t="shared" ca="1" si="104"/>
        <v>#N/A</v>
      </c>
      <c r="P169" s="248" t="e">
        <f t="shared" ca="1" si="115"/>
        <v>#N/A</v>
      </c>
      <c r="Q169" s="244" t="e">
        <f ca="1">SUM($P$117:P169)+SUM($V$117:V169)</f>
        <v>#N/A</v>
      </c>
      <c r="R169" s="244" t="e">
        <f t="shared" ca="1" si="118"/>
        <v>#N/A</v>
      </c>
      <c r="S169" s="248" t="e">
        <f ca="1">SUM($R$117:R169)</f>
        <v>#N/A</v>
      </c>
      <c r="T169" s="244" t="e">
        <f t="shared" ca="1" si="119"/>
        <v>#N/A</v>
      </c>
      <c r="U169" s="244" t="e">
        <f ca="1">SUM($T$117:T169)</f>
        <v>#N/A</v>
      </c>
      <c r="V169" t="e">
        <f t="shared" ca="1" si="105"/>
        <v>#N/A</v>
      </c>
      <c r="W169" s="75" t="e">
        <f ca="1">SUM($V$117:V169)</f>
        <v>#N/A</v>
      </c>
      <c r="X169" s="78" t="e">
        <f t="shared" ca="1" si="127"/>
        <v>#N/A</v>
      </c>
      <c r="Y169" t="e">
        <f t="shared" si="128"/>
        <v>#N/A</v>
      </c>
      <c r="Z169" t="e">
        <f t="shared" ca="1" si="129"/>
        <v>#N/A</v>
      </c>
      <c r="AA169" s="75" t="e">
        <f ca="1">SUM($Z$117:Z169)</f>
        <v>#N/A</v>
      </c>
      <c r="AB169" t="e">
        <f t="shared" ca="1" si="130"/>
        <v>#N/A</v>
      </c>
      <c r="AC169" s="78" t="e">
        <f ca="1">SUM($AB$117:AB169)</f>
        <v>#N/A</v>
      </c>
      <c r="AD169" t="e">
        <f t="shared" ca="1" si="131"/>
        <v>#N/A</v>
      </c>
      <c r="AE169" t="e">
        <f t="shared" ca="1" si="132"/>
        <v>#N/A</v>
      </c>
      <c r="AF169" t="e">
        <f t="shared" ca="1" si="133"/>
        <v>#N/A</v>
      </c>
      <c r="AG169" t="e">
        <f t="shared" ca="1" si="116"/>
        <v>#N/A</v>
      </c>
      <c r="AH169" t="e">
        <f t="shared" ca="1" si="106"/>
        <v>#N/A</v>
      </c>
      <c r="AI169" t="e">
        <f t="shared" ca="1" si="107"/>
        <v>#N/A</v>
      </c>
      <c r="AJ169" t="e">
        <f ca="1">SUM($AI$117:AI169)</f>
        <v>#N/A</v>
      </c>
      <c r="AK169" t="e">
        <f t="shared" ca="1" si="114"/>
        <v>#N/A</v>
      </c>
      <c r="AL169" t="e">
        <f ca="1">SUM($AK$117:AK169)</f>
        <v>#N/A</v>
      </c>
      <c r="AM169" s="244" t="e">
        <f t="shared" ca="1" si="120"/>
        <v>#N/A</v>
      </c>
      <c r="AN169" s="248" t="e">
        <f ca="1">SUM($T$117:T169)+SUM($AM$117:AM169)</f>
        <v>#N/A</v>
      </c>
      <c r="AO169" t="e">
        <f t="shared" ca="1" si="117"/>
        <v>#N/A</v>
      </c>
      <c r="AP169" t="e">
        <f ca="1">SUM($AO$117:AO169)</f>
        <v>#N/A</v>
      </c>
      <c r="AQ169" t="e">
        <f t="shared" ca="1" si="108"/>
        <v>#N/A</v>
      </c>
      <c r="AR169" t="e">
        <f t="shared" ca="1" si="100"/>
        <v>#N/A</v>
      </c>
      <c r="AS169" t="e">
        <f t="shared" ca="1" si="121"/>
        <v>#N/A</v>
      </c>
      <c r="AT169" t="e">
        <f t="shared" ca="1" si="122"/>
        <v>#N/A</v>
      </c>
      <c r="AU169" t="e">
        <f t="shared" ca="1" si="111"/>
        <v>#N/A</v>
      </c>
    </row>
    <row r="170" spans="2:52" x14ac:dyDescent="0.25">
      <c r="B170" s="105">
        <f t="shared" si="112"/>
        <v>53</v>
      </c>
      <c r="C170">
        <v>54</v>
      </c>
      <c r="D170" s="78" t="e">
        <f ca="1">'PEP Impact Model'!J72</f>
        <v>#N/A</v>
      </c>
      <c r="E170" s="78" t="e">
        <f t="shared" ca="1" si="135"/>
        <v>#N/A</v>
      </c>
      <c r="F170" t="e">
        <f t="shared" ca="1" si="134"/>
        <v>#N/A</v>
      </c>
      <c r="G170" t="e">
        <f ca="1">SUM($F$117:F170)</f>
        <v>#N/A</v>
      </c>
      <c r="H170" t="e">
        <f t="shared" si="123"/>
        <v>#N/A</v>
      </c>
      <c r="I170" t="e">
        <f t="shared" ca="1" si="124"/>
        <v>#N/A</v>
      </c>
      <c r="J170" t="e">
        <f ca="1">SUM($I$117:I170)</f>
        <v>#N/A</v>
      </c>
      <c r="K170" t="e">
        <f t="shared" ca="1" si="125"/>
        <v>#N/A</v>
      </c>
      <c r="L170" t="e">
        <f t="shared" ca="1" si="126"/>
        <v>#N/A</v>
      </c>
      <c r="M170" s="888">
        <f t="shared" si="102"/>
        <v>0.5</v>
      </c>
      <c r="N170" s="248" t="e">
        <f t="shared" ca="1" si="103"/>
        <v>#N/A</v>
      </c>
      <c r="O170" s="248" t="e">
        <f t="shared" ca="1" si="104"/>
        <v>#N/A</v>
      </c>
      <c r="P170" s="248" t="e">
        <f t="shared" ca="1" si="115"/>
        <v>#N/A</v>
      </c>
      <c r="Q170" s="244" t="e">
        <f ca="1">SUM($P$117:P170)+SUM($V$117:V170)</f>
        <v>#N/A</v>
      </c>
      <c r="R170" s="244" t="e">
        <f t="shared" ca="1" si="118"/>
        <v>#N/A</v>
      </c>
      <c r="S170" s="248" t="e">
        <f ca="1">SUM($R$117:R170)</f>
        <v>#N/A</v>
      </c>
      <c r="T170" s="244" t="e">
        <f t="shared" ca="1" si="119"/>
        <v>#N/A</v>
      </c>
      <c r="U170" s="244" t="e">
        <f ca="1">SUM($T$117:T170)</f>
        <v>#N/A</v>
      </c>
      <c r="V170" t="e">
        <f t="shared" ca="1" si="105"/>
        <v>#N/A</v>
      </c>
      <c r="W170" s="75" t="e">
        <f ca="1">SUM($V$117:V170)</f>
        <v>#N/A</v>
      </c>
      <c r="X170" s="78" t="e">
        <f t="shared" ca="1" si="127"/>
        <v>#N/A</v>
      </c>
      <c r="Y170" t="e">
        <f t="shared" si="128"/>
        <v>#N/A</v>
      </c>
      <c r="Z170" t="e">
        <f t="shared" ca="1" si="129"/>
        <v>#N/A</v>
      </c>
      <c r="AA170" s="75" t="e">
        <f ca="1">SUM($Z$117:Z170)</f>
        <v>#N/A</v>
      </c>
      <c r="AB170" t="e">
        <f t="shared" ca="1" si="130"/>
        <v>#N/A</v>
      </c>
      <c r="AC170" s="78" t="e">
        <f ca="1">SUM($AB$117:AB170)</f>
        <v>#N/A</v>
      </c>
      <c r="AD170" t="e">
        <f t="shared" ca="1" si="131"/>
        <v>#N/A</v>
      </c>
      <c r="AE170" t="e">
        <f t="shared" ca="1" si="132"/>
        <v>#N/A</v>
      </c>
      <c r="AF170" t="e">
        <f t="shared" ca="1" si="133"/>
        <v>#N/A</v>
      </c>
      <c r="AG170" t="e">
        <f t="shared" ca="1" si="116"/>
        <v>#N/A</v>
      </c>
      <c r="AH170" t="e">
        <f t="shared" ca="1" si="106"/>
        <v>#N/A</v>
      </c>
      <c r="AI170" t="e">
        <f t="shared" ca="1" si="107"/>
        <v>#N/A</v>
      </c>
      <c r="AJ170" t="e">
        <f ca="1">SUM($AI$117:AI170)</f>
        <v>#N/A</v>
      </c>
      <c r="AK170" t="e">
        <f t="shared" ca="1" si="114"/>
        <v>#N/A</v>
      </c>
      <c r="AL170" t="e">
        <f ca="1">SUM($AK$117:AK170)</f>
        <v>#N/A</v>
      </c>
      <c r="AM170" s="244" t="e">
        <f t="shared" ca="1" si="120"/>
        <v>#N/A</v>
      </c>
      <c r="AN170" s="248" t="e">
        <f ca="1">SUM($T$117:T170)+SUM($AM$117:AM170)</f>
        <v>#N/A</v>
      </c>
      <c r="AO170" t="e">
        <f t="shared" ca="1" si="117"/>
        <v>#N/A</v>
      </c>
      <c r="AP170" t="e">
        <f ca="1">SUM($AO$117:AO170)</f>
        <v>#N/A</v>
      </c>
      <c r="AQ170" t="e">
        <f t="shared" ca="1" si="108"/>
        <v>#N/A</v>
      </c>
      <c r="AR170" t="e">
        <f t="shared" ca="1" si="100"/>
        <v>#N/A</v>
      </c>
      <c r="AS170" t="e">
        <f t="shared" ca="1" si="121"/>
        <v>#N/A</v>
      </c>
      <c r="AT170" t="e">
        <f t="shared" ca="1" si="122"/>
        <v>#N/A</v>
      </c>
      <c r="AU170" t="e">
        <f t="shared" ca="1" si="111"/>
        <v>#N/A</v>
      </c>
    </row>
    <row r="171" spans="2:52" x14ac:dyDescent="0.25">
      <c r="B171" s="105">
        <f t="shared" si="112"/>
        <v>54</v>
      </c>
      <c r="C171">
        <v>55</v>
      </c>
      <c r="D171" s="78" t="e">
        <f ca="1">'PEP Impact Model'!J73</f>
        <v>#N/A</v>
      </c>
      <c r="E171" s="78" t="e">
        <f t="shared" ca="1" si="135"/>
        <v>#N/A</v>
      </c>
      <c r="F171" t="e">
        <f t="shared" ca="1" si="134"/>
        <v>#N/A</v>
      </c>
      <c r="G171" t="e">
        <f ca="1">SUM($F$117:F171)</f>
        <v>#N/A</v>
      </c>
      <c r="H171" t="e">
        <f t="shared" si="123"/>
        <v>#N/A</v>
      </c>
      <c r="I171" t="e">
        <f t="shared" ca="1" si="124"/>
        <v>#N/A</v>
      </c>
      <c r="J171" t="e">
        <f ca="1">SUM($I$117:I171)</f>
        <v>#N/A</v>
      </c>
      <c r="K171" t="e">
        <f t="shared" ca="1" si="125"/>
        <v>#N/A</v>
      </c>
      <c r="L171" t="e">
        <f t="shared" ca="1" si="126"/>
        <v>#N/A</v>
      </c>
      <c r="M171" s="888">
        <f t="shared" si="102"/>
        <v>0.5</v>
      </c>
      <c r="N171" s="248" t="e">
        <f t="shared" ca="1" si="103"/>
        <v>#N/A</v>
      </c>
      <c r="O171" s="248" t="e">
        <f t="shared" ca="1" si="104"/>
        <v>#N/A</v>
      </c>
      <c r="P171" s="248" t="e">
        <f t="shared" ca="1" si="115"/>
        <v>#N/A</v>
      </c>
      <c r="Q171" s="244" t="e">
        <f ca="1">SUM($P$117:P171)+SUM($V$117:V171)</f>
        <v>#N/A</v>
      </c>
      <c r="R171" s="244" t="e">
        <f t="shared" ca="1" si="118"/>
        <v>#N/A</v>
      </c>
      <c r="S171" s="248" t="e">
        <f ca="1">SUM($R$117:R171)</f>
        <v>#N/A</v>
      </c>
      <c r="T171" s="244" t="e">
        <f t="shared" ca="1" si="119"/>
        <v>#N/A</v>
      </c>
      <c r="U171" s="244" t="e">
        <f ca="1">SUM($T$117:T171)</f>
        <v>#N/A</v>
      </c>
      <c r="V171" t="e">
        <f t="shared" ca="1" si="105"/>
        <v>#N/A</v>
      </c>
      <c r="W171" s="75" t="e">
        <f ca="1">SUM($V$117:V171)</f>
        <v>#N/A</v>
      </c>
      <c r="X171" s="78" t="e">
        <f t="shared" ca="1" si="127"/>
        <v>#N/A</v>
      </c>
      <c r="Y171" t="e">
        <f t="shared" si="128"/>
        <v>#N/A</v>
      </c>
      <c r="Z171" t="e">
        <f t="shared" ca="1" si="129"/>
        <v>#N/A</v>
      </c>
      <c r="AA171" s="75" t="e">
        <f ca="1">SUM($Z$117:Z171)</f>
        <v>#N/A</v>
      </c>
      <c r="AB171" t="e">
        <f t="shared" ca="1" si="130"/>
        <v>#N/A</v>
      </c>
      <c r="AC171" s="78" t="e">
        <f ca="1">SUM($AB$117:AB171)</f>
        <v>#N/A</v>
      </c>
      <c r="AD171" t="e">
        <f t="shared" ca="1" si="131"/>
        <v>#N/A</v>
      </c>
      <c r="AE171" t="e">
        <f t="shared" ca="1" si="132"/>
        <v>#N/A</v>
      </c>
      <c r="AF171" t="e">
        <f t="shared" ca="1" si="133"/>
        <v>#N/A</v>
      </c>
      <c r="AG171" t="e">
        <f t="shared" ca="1" si="116"/>
        <v>#N/A</v>
      </c>
      <c r="AH171" t="e">
        <f t="shared" ca="1" si="106"/>
        <v>#N/A</v>
      </c>
      <c r="AI171" t="e">
        <f t="shared" ca="1" si="107"/>
        <v>#N/A</v>
      </c>
      <c r="AJ171" t="e">
        <f ca="1">SUM($AI$117:AI171)</f>
        <v>#N/A</v>
      </c>
      <c r="AK171" t="e">
        <f t="shared" ca="1" si="114"/>
        <v>#N/A</v>
      </c>
      <c r="AL171" t="e">
        <f ca="1">SUM($AK$117:AK171)</f>
        <v>#N/A</v>
      </c>
      <c r="AM171" s="244" t="e">
        <f t="shared" ca="1" si="120"/>
        <v>#N/A</v>
      </c>
      <c r="AN171" s="248" t="e">
        <f ca="1">SUM($T$117:T171)+SUM($AM$117:AM171)</f>
        <v>#N/A</v>
      </c>
      <c r="AO171" t="e">
        <f t="shared" ca="1" si="117"/>
        <v>#N/A</v>
      </c>
      <c r="AP171" t="e">
        <f ca="1">SUM($AO$117:AO171)</f>
        <v>#N/A</v>
      </c>
      <c r="AQ171" t="e">
        <f t="shared" ca="1" si="108"/>
        <v>#N/A</v>
      </c>
      <c r="AR171" t="e">
        <f t="shared" ca="1" si="100"/>
        <v>#N/A</v>
      </c>
      <c r="AS171" t="e">
        <f t="shared" ca="1" si="121"/>
        <v>#N/A</v>
      </c>
      <c r="AT171" t="e">
        <f t="shared" ca="1" si="122"/>
        <v>#N/A</v>
      </c>
      <c r="AU171" t="e">
        <f t="shared" ca="1" si="111"/>
        <v>#N/A</v>
      </c>
    </row>
    <row r="172" spans="2:52" x14ac:dyDescent="0.25">
      <c r="B172" s="105">
        <f t="shared" si="112"/>
        <v>55</v>
      </c>
      <c r="C172">
        <v>56</v>
      </c>
      <c r="D172" s="78" t="e">
        <f ca="1">'PEP Impact Model'!J74</f>
        <v>#N/A</v>
      </c>
      <c r="E172" s="78" t="e">
        <f t="shared" ca="1" si="135"/>
        <v>#N/A</v>
      </c>
      <c r="F172" t="e">
        <f t="shared" ca="1" si="134"/>
        <v>#N/A</v>
      </c>
      <c r="G172" t="e">
        <f ca="1">SUM($F$117:F172)</f>
        <v>#N/A</v>
      </c>
      <c r="H172" t="e">
        <f t="shared" si="123"/>
        <v>#N/A</v>
      </c>
      <c r="I172" t="e">
        <f t="shared" ca="1" si="124"/>
        <v>#N/A</v>
      </c>
      <c r="J172" t="e">
        <f ca="1">SUM($I$117:I172)</f>
        <v>#N/A</v>
      </c>
      <c r="K172" t="e">
        <f t="shared" ca="1" si="125"/>
        <v>#N/A</v>
      </c>
      <c r="L172" t="e">
        <f t="shared" ca="1" si="126"/>
        <v>#N/A</v>
      </c>
      <c r="M172" s="888">
        <f t="shared" si="102"/>
        <v>0.5</v>
      </c>
      <c r="N172" s="248" t="e">
        <f t="shared" ca="1" si="103"/>
        <v>#N/A</v>
      </c>
      <c r="O172" s="248" t="e">
        <f t="shared" ca="1" si="104"/>
        <v>#N/A</v>
      </c>
      <c r="P172" s="248" t="e">
        <f t="shared" ca="1" si="115"/>
        <v>#N/A</v>
      </c>
      <c r="Q172" s="244" t="e">
        <f ca="1">SUM($P$117:P172)+SUM($V$117:V172)</f>
        <v>#N/A</v>
      </c>
      <c r="R172" s="244" t="e">
        <f t="shared" ca="1" si="118"/>
        <v>#N/A</v>
      </c>
      <c r="S172" s="248" t="e">
        <f ca="1">SUM($R$117:R172)</f>
        <v>#N/A</v>
      </c>
      <c r="T172" s="244" t="e">
        <f t="shared" ca="1" si="119"/>
        <v>#N/A</v>
      </c>
      <c r="U172" s="244" t="e">
        <f ca="1">SUM($T$117:T172)</f>
        <v>#N/A</v>
      </c>
      <c r="V172" t="e">
        <f t="shared" ca="1" si="105"/>
        <v>#N/A</v>
      </c>
      <c r="W172" s="75" t="e">
        <f ca="1">SUM($V$117:V172)</f>
        <v>#N/A</v>
      </c>
      <c r="X172" s="78" t="e">
        <f t="shared" ca="1" si="127"/>
        <v>#N/A</v>
      </c>
      <c r="Y172" t="e">
        <f t="shared" si="128"/>
        <v>#N/A</v>
      </c>
      <c r="Z172" t="e">
        <f t="shared" ca="1" si="129"/>
        <v>#N/A</v>
      </c>
      <c r="AA172" s="75" t="e">
        <f ca="1">SUM($Z$117:Z172)</f>
        <v>#N/A</v>
      </c>
      <c r="AB172" t="e">
        <f t="shared" ca="1" si="130"/>
        <v>#N/A</v>
      </c>
      <c r="AC172" s="78" t="e">
        <f ca="1">SUM($AB$117:AB172)</f>
        <v>#N/A</v>
      </c>
      <c r="AD172" t="e">
        <f t="shared" ca="1" si="131"/>
        <v>#N/A</v>
      </c>
      <c r="AE172" t="e">
        <f t="shared" ca="1" si="132"/>
        <v>#N/A</v>
      </c>
      <c r="AF172" t="e">
        <f t="shared" ca="1" si="133"/>
        <v>#N/A</v>
      </c>
      <c r="AG172" t="e">
        <f t="shared" ca="1" si="116"/>
        <v>#N/A</v>
      </c>
      <c r="AH172" t="e">
        <f t="shared" ca="1" si="106"/>
        <v>#N/A</v>
      </c>
      <c r="AI172" t="e">
        <f t="shared" ca="1" si="107"/>
        <v>#N/A</v>
      </c>
      <c r="AJ172" t="e">
        <f ca="1">SUM($AI$117:AI172)</f>
        <v>#N/A</v>
      </c>
      <c r="AK172" t="e">
        <f t="shared" ca="1" si="114"/>
        <v>#N/A</v>
      </c>
      <c r="AL172" t="e">
        <f ca="1">SUM($AK$117:AK172)</f>
        <v>#N/A</v>
      </c>
      <c r="AM172" s="244" t="e">
        <f t="shared" ca="1" si="120"/>
        <v>#N/A</v>
      </c>
      <c r="AN172" s="248" t="e">
        <f ca="1">SUM($T$117:T172)+SUM($AM$117:AM172)</f>
        <v>#N/A</v>
      </c>
      <c r="AO172" t="e">
        <f t="shared" ca="1" si="117"/>
        <v>#N/A</v>
      </c>
      <c r="AP172" t="e">
        <f ca="1">SUM($AO$117:AO172)</f>
        <v>#N/A</v>
      </c>
      <c r="AQ172" t="e">
        <f t="shared" ca="1" si="108"/>
        <v>#N/A</v>
      </c>
      <c r="AR172" t="e">
        <f t="shared" ca="1" si="100"/>
        <v>#N/A</v>
      </c>
      <c r="AS172" t="e">
        <f t="shared" ca="1" si="121"/>
        <v>#N/A</v>
      </c>
      <c r="AT172" t="e">
        <f t="shared" ca="1" si="122"/>
        <v>#N/A</v>
      </c>
      <c r="AU172" t="e">
        <f t="shared" ca="1" si="111"/>
        <v>#N/A</v>
      </c>
    </row>
    <row r="173" spans="2:52" x14ac:dyDescent="0.25">
      <c r="B173" s="105">
        <f t="shared" si="112"/>
        <v>56</v>
      </c>
      <c r="C173">
        <v>57</v>
      </c>
      <c r="D173" s="78" t="e">
        <f ca="1">'PEP Impact Model'!J75</f>
        <v>#N/A</v>
      </c>
      <c r="E173" s="78" t="e">
        <f t="shared" ca="1" si="135"/>
        <v>#N/A</v>
      </c>
      <c r="F173" t="e">
        <f t="shared" ca="1" si="134"/>
        <v>#N/A</v>
      </c>
      <c r="G173" t="e">
        <f ca="1">SUM($F$117:F173)</f>
        <v>#N/A</v>
      </c>
      <c r="H173" t="e">
        <f t="shared" si="123"/>
        <v>#N/A</v>
      </c>
      <c r="I173" t="e">
        <f t="shared" ca="1" si="124"/>
        <v>#N/A</v>
      </c>
      <c r="J173" t="e">
        <f ca="1">SUM($I$117:I173)</f>
        <v>#N/A</v>
      </c>
      <c r="K173" t="e">
        <f t="shared" ca="1" si="125"/>
        <v>#N/A</v>
      </c>
      <c r="L173" t="e">
        <f t="shared" ca="1" si="126"/>
        <v>#N/A</v>
      </c>
      <c r="M173" s="888">
        <f t="shared" si="102"/>
        <v>0.5</v>
      </c>
      <c r="N173" s="248" t="e">
        <f t="shared" ca="1" si="103"/>
        <v>#N/A</v>
      </c>
      <c r="O173" s="248" t="e">
        <f t="shared" ca="1" si="104"/>
        <v>#N/A</v>
      </c>
      <c r="P173" s="248" t="e">
        <f t="shared" ca="1" si="115"/>
        <v>#N/A</v>
      </c>
      <c r="Q173" s="244" t="e">
        <f ca="1">SUM($P$117:P173)+SUM($V$117:V173)</f>
        <v>#N/A</v>
      </c>
      <c r="R173" s="244" t="e">
        <f t="shared" ca="1" si="118"/>
        <v>#N/A</v>
      </c>
      <c r="S173" s="248" t="e">
        <f ca="1">SUM($R$117:R173)</f>
        <v>#N/A</v>
      </c>
      <c r="T173" s="244" t="e">
        <f t="shared" ca="1" si="119"/>
        <v>#N/A</v>
      </c>
      <c r="U173" s="244" t="e">
        <f ca="1">SUM($T$117:T173)</f>
        <v>#N/A</v>
      </c>
      <c r="V173" t="e">
        <f t="shared" ca="1" si="105"/>
        <v>#N/A</v>
      </c>
      <c r="W173" s="75" t="e">
        <f ca="1">SUM($V$117:V173)</f>
        <v>#N/A</v>
      </c>
      <c r="X173" s="78" t="e">
        <f t="shared" ca="1" si="127"/>
        <v>#N/A</v>
      </c>
      <c r="Y173" t="e">
        <f t="shared" si="128"/>
        <v>#N/A</v>
      </c>
      <c r="Z173" t="e">
        <f t="shared" ca="1" si="129"/>
        <v>#N/A</v>
      </c>
      <c r="AA173" s="75" t="e">
        <f ca="1">SUM($Z$117:Z173)</f>
        <v>#N/A</v>
      </c>
      <c r="AB173" t="e">
        <f t="shared" ca="1" si="130"/>
        <v>#N/A</v>
      </c>
      <c r="AC173" s="78" t="e">
        <f ca="1">SUM($AB$117:AB173)</f>
        <v>#N/A</v>
      </c>
      <c r="AD173" t="e">
        <f t="shared" ca="1" si="131"/>
        <v>#N/A</v>
      </c>
      <c r="AE173" t="e">
        <f t="shared" ca="1" si="132"/>
        <v>#N/A</v>
      </c>
      <c r="AF173" t="e">
        <f t="shared" ca="1" si="133"/>
        <v>#N/A</v>
      </c>
      <c r="AG173" t="e">
        <f t="shared" ca="1" si="116"/>
        <v>#N/A</v>
      </c>
      <c r="AH173" t="e">
        <f t="shared" ca="1" si="106"/>
        <v>#N/A</v>
      </c>
      <c r="AI173" t="e">
        <f t="shared" ca="1" si="107"/>
        <v>#N/A</v>
      </c>
      <c r="AJ173" t="e">
        <f ca="1">SUM($AI$117:AI173)</f>
        <v>#N/A</v>
      </c>
      <c r="AK173" t="e">
        <f t="shared" ca="1" si="114"/>
        <v>#N/A</v>
      </c>
      <c r="AL173" t="e">
        <f ca="1">SUM($AK$117:AK173)</f>
        <v>#N/A</v>
      </c>
      <c r="AM173" s="244" t="e">
        <f t="shared" ca="1" si="120"/>
        <v>#N/A</v>
      </c>
      <c r="AN173" s="248" t="e">
        <f ca="1">SUM($T$117:T173)+SUM($AM$117:AM173)</f>
        <v>#N/A</v>
      </c>
      <c r="AO173" t="e">
        <f t="shared" ca="1" si="117"/>
        <v>#N/A</v>
      </c>
      <c r="AP173" t="e">
        <f ca="1">SUM($AO$117:AO173)</f>
        <v>#N/A</v>
      </c>
      <c r="AQ173" t="e">
        <f t="shared" ca="1" si="108"/>
        <v>#N/A</v>
      </c>
      <c r="AR173" t="e">
        <f t="shared" ca="1" si="100"/>
        <v>#N/A</v>
      </c>
      <c r="AS173" t="e">
        <f t="shared" ca="1" si="121"/>
        <v>#N/A</v>
      </c>
      <c r="AT173" t="e">
        <f t="shared" ca="1" si="122"/>
        <v>#N/A</v>
      </c>
      <c r="AU173" t="e">
        <f t="shared" ca="1" si="111"/>
        <v>#N/A</v>
      </c>
    </row>
    <row r="174" spans="2:52" x14ac:dyDescent="0.25">
      <c r="B174" s="105">
        <f t="shared" si="112"/>
        <v>57</v>
      </c>
      <c r="C174">
        <v>58</v>
      </c>
      <c r="D174" s="78" t="e">
        <f ca="1">'PEP Impact Model'!J76</f>
        <v>#N/A</v>
      </c>
      <c r="E174" s="78" t="e">
        <f t="shared" ca="1" si="135"/>
        <v>#N/A</v>
      </c>
      <c r="F174" t="e">
        <f t="shared" ca="1" si="134"/>
        <v>#N/A</v>
      </c>
      <c r="G174" t="e">
        <f ca="1">SUM($F$117:F174)</f>
        <v>#N/A</v>
      </c>
      <c r="H174" t="e">
        <f t="shared" si="123"/>
        <v>#N/A</v>
      </c>
      <c r="I174" t="e">
        <f t="shared" ca="1" si="124"/>
        <v>#N/A</v>
      </c>
      <c r="J174" t="e">
        <f ca="1">SUM($I$117:I174)</f>
        <v>#N/A</v>
      </c>
      <c r="K174" t="e">
        <f t="shared" ca="1" si="125"/>
        <v>#N/A</v>
      </c>
      <c r="L174" t="e">
        <f t="shared" ca="1" si="126"/>
        <v>#N/A</v>
      </c>
      <c r="M174" s="888">
        <f t="shared" si="102"/>
        <v>0.5</v>
      </c>
      <c r="N174" s="248" t="e">
        <f t="shared" ca="1" si="103"/>
        <v>#N/A</v>
      </c>
      <c r="O174" s="248" t="e">
        <f t="shared" ca="1" si="104"/>
        <v>#N/A</v>
      </c>
      <c r="P174" s="248" t="e">
        <f t="shared" ca="1" si="115"/>
        <v>#N/A</v>
      </c>
      <c r="Q174" s="244" t="e">
        <f ca="1">SUM($P$117:P174)+SUM($V$117:V174)</f>
        <v>#N/A</v>
      </c>
      <c r="R174" s="244" t="e">
        <f t="shared" ca="1" si="118"/>
        <v>#N/A</v>
      </c>
      <c r="S174" s="248" t="e">
        <f ca="1">SUM($R$117:R174)</f>
        <v>#N/A</v>
      </c>
      <c r="T174" s="244" t="e">
        <f t="shared" ca="1" si="119"/>
        <v>#N/A</v>
      </c>
      <c r="U174" s="244" t="e">
        <f ca="1">SUM($T$117:T174)</f>
        <v>#N/A</v>
      </c>
      <c r="V174" t="e">
        <f t="shared" ca="1" si="105"/>
        <v>#N/A</v>
      </c>
      <c r="W174" s="75" t="e">
        <f ca="1">SUM($V$117:V174)</f>
        <v>#N/A</v>
      </c>
      <c r="X174" s="78" t="e">
        <f t="shared" ca="1" si="127"/>
        <v>#N/A</v>
      </c>
      <c r="Y174" t="e">
        <f t="shared" si="128"/>
        <v>#N/A</v>
      </c>
      <c r="Z174" t="e">
        <f t="shared" ca="1" si="129"/>
        <v>#N/A</v>
      </c>
      <c r="AA174" s="75" t="e">
        <f ca="1">SUM($Z$117:Z174)</f>
        <v>#N/A</v>
      </c>
      <c r="AB174" t="e">
        <f t="shared" ca="1" si="130"/>
        <v>#N/A</v>
      </c>
      <c r="AC174" s="78" t="e">
        <f ca="1">SUM($AB$117:AB174)</f>
        <v>#N/A</v>
      </c>
      <c r="AD174" t="e">
        <f t="shared" ca="1" si="131"/>
        <v>#N/A</v>
      </c>
      <c r="AE174" t="e">
        <f t="shared" ca="1" si="132"/>
        <v>#N/A</v>
      </c>
      <c r="AF174" t="e">
        <f t="shared" ca="1" si="133"/>
        <v>#N/A</v>
      </c>
      <c r="AG174" t="e">
        <f t="shared" ca="1" si="116"/>
        <v>#N/A</v>
      </c>
      <c r="AH174" t="e">
        <f t="shared" ca="1" si="106"/>
        <v>#N/A</v>
      </c>
      <c r="AI174" t="e">
        <f t="shared" ca="1" si="107"/>
        <v>#N/A</v>
      </c>
      <c r="AJ174" t="e">
        <f ca="1">SUM($AI$117:AI174)</f>
        <v>#N/A</v>
      </c>
      <c r="AK174" t="e">
        <f t="shared" ca="1" si="114"/>
        <v>#N/A</v>
      </c>
      <c r="AL174" t="e">
        <f ca="1">SUM($AK$117:AK174)</f>
        <v>#N/A</v>
      </c>
      <c r="AM174" s="244" t="e">
        <f t="shared" ref="AM174:AM196" ca="1" si="136">ROUND((AE149*$AX$46)+(AE150*$AX$45)+(AE151*$AX$44)+(AE152*$AX$43)+(AE153*$AX$42)+(AE154*$AX$41)+(AE155*$AX$40)+(AE156*$AX$39)+(AE157*$AX$38)+(AE158*$AX$37)+(AE159*$AX$36)+(AE160*$AX$35)+(AE161*$AX$34)+(AE162*$AX$33)+(AE163*$AX$32)+(AE164*$AX$31)+(AE165*$AX$30)+(AE166*$AX$29)+(AE167*$AX$28)+(AE168*$AX$27),0)</f>
        <v>#N/A</v>
      </c>
      <c r="AN174" s="248" t="e">
        <f ca="1">SUM($T$117:T174)+SUM($AM$117:AM174)</f>
        <v>#N/A</v>
      </c>
      <c r="AO174" t="e">
        <f t="shared" ca="1" si="117"/>
        <v>#N/A</v>
      </c>
      <c r="AP174" t="e">
        <f ca="1">SUM($AO$117:AO174)</f>
        <v>#N/A</v>
      </c>
      <c r="AQ174" t="e">
        <f t="shared" ca="1" si="108"/>
        <v>#N/A</v>
      </c>
      <c r="AR174" t="e">
        <f t="shared" ca="1" si="100"/>
        <v>#N/A</v>
      </c>
      <c r="AS174" t="e">
        <f t="shared" ca="1" si="121"/>
        <v>#N/A</v>
      </c>
      <c r="AT174" t="e">
        <f t="shared" ca="1" si="122"/>
        <v>#N/A</v>
      </c>
      <c r="AU174" t="e">
        <f t="shared" ca="1" si="111"/>
        <v>#N/A</v>
      </c>
    </row>
    <row r="175" spans="2:52" x14ac:dyDescent="0.25">
      <c r="B175" s="105">
        <f t="shared" si="112"/>
        <v>58</v>
      </c>
      <c r="C175">
        <v>59</v>
      </c>
      <c r="D175" s="78" t="e">
        <f ca="1">'PEP Impact Model'!J77</f>
        <v>#N/A</v>
      </c>
      <c r="E175" s="78" t="e">
        <f t="shared" ca="1" si="135"/>
        <v>#N/A</v>
      </c>
      <c r="F175" t="e">
        <f t="shared" ca="1" si="134"/>
        <v>#N/A</v>
      </c>
      <c r="G175" t="e">
        <f ca="1">SUM($F$117:F175)</f>
        <v>#N/A</v>
      </c>
      <c r="H175" t="e">
        <f t="shared" si="123"/>
        <v>#N/A</v>
      </c>
      <c r="I175" t="e">
        <f t="shared" ca="1" si="124"/>
        <v>#N/A</v>
      </c>
      <c r="J175" t="e">
        <f ca="1">SUM($I$117:I175)</f>
        <v>#N/A</v>
      </c>
      <c r="K175" t="e">
        <f t="shared" ca="1" si="125"/>
        <v>#N/A</v>
      </c>
      <c r="L175" t="e">
        <f t="shared" ca="1" si="126"/>
        <v>#N/A</v>
      </c>
      <c r="M175" s="888">
        <f t="shared" si="102"/>
        <v>0.5</v>
      </c>
      <c r="N175" s="248" t="e">
        <f t="shared" ca="1" si="103"/>
        <v>#N/A</v>
      </c>
      <c r="O175" s="248" t="e">
        <f t="shared" ca="1" si="104"/>
        <v>#N/A</v>
      </c>
      <c r="P175" s="248" t="e">
        <f t="shared" ca="1" si="115"/>
        <v>#N/A</v>
      </c>
      <c r="Q175" s="244" t="e">
        <f ca="1">SUM($P$117:P175)+SUM($V$117:V175)</f>
        <v>#N/A</v>
      </c>
      <c r="R175" s="244" t="e">
        <f t="shared" ca="1" si="118"/>
        <v>#N/A</v>
      </c>
      <c r="S175" s="248" t="e">
        <f ca="1">SUM($R$117:R175)</f>
        <v>#N/A</v>
      </c>
      <c r="T175" s="244" t="e">
        <f t="shared" ca="1" si="119"/>
        <v>#N/A</v>
      </c>
      <c r="U175" s="244" t="e">
        <f ca="1">SUM($T$117:T175)</f>
        <v>#N/A</v>
      </c>
      <c r="V175" t="e">
        <f t="shared" ca="1" si="105"/>
        <v>#N/A</v>
      </c>
      <c r="W175" s="75" t="e">
        <f ca="1">SUM($V$117:V175)</f>
        <v>#N/A</v>
      </c>
      <c r="X175" s="78" t="e">
        <f t="shared" ca="1" si="127"/>
        <v>#N/A</v>
      </c>
      <c r="Y175" t="e">
        <f t="shared" si="128"/>
        <v>#N/A</v>
      </c>
      <c r="Z175" t="e">
        <f t="shared" ca="1" si="129"/>
        <v>#N/A</v>
      </c>
      <c r="AA175" s="75" t="e">
        <f ca="1">SUM($Z$117:Z175)</f>
        <v>#N/A</v>
      </c>
      <c r="AB175" t="e">
        <f t="shared" ca="1" si="130"/>
        <v>#N/A</v>
      </c>
      <c r="AC175" s="78" t="e">
        <f ca="1">SUM($AB$117:AB175)</f>
        <v>#N/A</v>
      </c>
      <c r="AD175" t="e">
        <f t="shared" ca="1" si="131"/>
        <v>#N/A</v>
      </c>
      <c r="AE175" t="e">
        <f t="shared" ca="1" si="132"/>
        <v>#N/A</v>
      </c>
      <c r="AF175" t="e">
        <f t="shared" ca="1" si="133"/>
        <v>#N/A</v>
      </c>
      <c r="AG175" t="e">
        <f t="shared" ca="1" si="116"/>
        <v>#N/A</v>
      </c>
      <c r="AH175" t="e">
        <f t="shared" ca="1" si="106"/>
        <v>#N/A</v>
      </c>
      <c r="AI175" t="e">
        <f t="shared" ca="1" si="107"/>
        <v>#N/A</v>
      </c>
      <c r="AJ175" t="e">
        <f ca="1">SUM($AI$117:AI175)</f>
        <v>#N/A</v>
      </c>
      <c r="AK175" t="e">
        <f t="shared" ca="1" si="114"/>
        <v>#N/A</v>
      </c>
      <c r="AL175" t="e">
        <f ca="1">SUM($AK$117:AK175)</f>
        <v>#N/A</v>
      </c>
      <c r="AM175" s="244" t="e">
        <f t="shared" ca="1" si="136"/>
        <v>#N/A</v>
      </c>
      <c r="AN175" s="248" t="e">
        <f ca="1">SUM($T$117:T175)+SUM($AM$117:AM175)</f>
        <v>#N/A</v>
      </c>
      <c r="AO175" t="e">
        <f t="shared" ca="1" si="117"/>
        <v>#N/A</v>
      </c>
      <c r="AP175" t="e">
        <f ca="1">SUM($AO$117:AO175)</f>
        <v>#N/A</v>
      </c>
      <c r="AQ175" t="e">
        <f t="shared" ca="1" si="108"/>
        <v>#N/A</v>
      </c>
      <c r="AR175" t="e">
        <f t="shared" ca="1" si="100"/>
        <v>#N/A</v>
      </c>
      <c r="AS175" t="e">
        <f t="shared" ca="1" si="121"/>
        <v>#N/A</v>
      </c>
      <c r="AT175" t="e">
        <f t="shared" ca="1" si="122"/>
        <v>#N/A</v>
      </c>
      <c r="AU175" t="e">
        <f t="shared" ca="1" si="111"/>
        <v>#N/A</v>
      </c>
    </row>
    <row r="176" spans="2:52" x14ac:dyDescent="0.25">
      <c r="B176" s="105">
        <f t="shared" si="112"/>
        <v>59</v>
      </c>
      <c r="C176">
        <v>60</v>
      </c>
      <c r="D176" s="78" t="e">
        <f ca="1">'PEP Impact Model'!J78</f>
        <v>#N/A</v>
      </c>
      <c r="E176" s="78" t="e">
        <f t="shared" ca="1" si="135"/>
        <v>#N/A</v>
      </c>
      <c r="F176" t="e">
        <f t="shared" ca="1" si="134"/>
        <v>#N/A</v>
      </c>
      <c r="G176" s="389" t="e">
        <f ca="1">SUM($F$117:F176)</f>
        <v>#N/A</v>
      </c>
      <c r="H176" s="389" t="e">
        <f t="shared" si="123"/>
        <v>#N/A</v>
      </c>
      <c r="I176" t="e">
        <f t="shared" ca="1" si="124"/>
        <v>#N/A</v>
      </c>
      <c r="J176" s="389" t="e">
        <f ca="1">SUM($I$117:I176)</f>
        <v>#N/A</v>
      </c>
      <c r="K176" s="389" t="e">
        <f t="shared" ca="1" si="125"/>
        <v>#N/A</v>
      </c>
      <c r="L176" t="e">
        <f t="shared" ca="1" si="126"/>
        <v>#N/A</v>
      </c>
      <c r="M176" s="888">
        <f t="shared" si="102"/>
        <v>0.5</v>
      </c>
      <c r="N176" s="248" t="e">
        <f t="shared" ca="1" si="103"/>
        <v>#N/A</v>
      </c>
      <c r="O176" s="248" t="e">
        <f t="shared" ca="1" si="104"/>
        <v>#N/A</v>
      </c>
      <c r="P176" s="248" t="e">
        <f t="shared" ca="1" si="115"/>
        <v>#N/A</v>
      </c>
      <c r="Q176" s="244" t="e">
        <f ca="1">SUM($P$117:P176)+SUM($V$117:V176)</f>
        <v>#N/A</v>
      </c>
      <c r="R176" s="244" t="e">
        <f t="shared" ca="1" si="118"/>
        <v>#N/A</v>
      </c>
      <c r="S176" s="248" t="e">
        <f ca="1">SUM($R$117:R176)</f>
        <v>#N/A</v>
      </c>
      <c r="T176" s="244" t="e">
        <f t="shared" ca="1" si="119"/>
        <v>#N/A</v>
      </c>
      <c r="U176" s="244" t="e">
        <f ca="1">SUM($T$117:T176)</f>
        <v>#N/A</v>
      </c>
      <c r="V176" s="389" t="e">
        <f t="shared" ca="1" si="105"/>
        <v>#N/A</v>
      </c>
      <c r="W176" s="75" t="e">
        <f ca="1">SUM($V$117:V176)</f>
        <v>#N/A</v>
      </c>
      <c r="X176" s="388" t="e">
        <f t="shared" ca="1" si="127"/>
        <v>#N/A</v>
      </c>
      <c r="Y176" s="389" t="e">
        <f t="shared" si="128"/>
        <v>#N/A</v>
      </c>
      <c r="Z176" s="389" t="e">
        <f t="shared" ca="1" si="129"/>
        <v>#N/A</v>
      </c>
      <c r="AA176" s="75" t="e">
        <f ca="1">SUM($Z$117:Z176)</f>
        <v>#N/A</v>
      </c>
      <c r="AB176" t="e">
        <f t="shared" ca="1" si="130"/>
        <v>#N/A</v>
      </c>
      <c r="AC176" s="78" t="e">
        <f ca="1">SUM($AB$117:AB176)</f>
        <v>#N/A</v>
      </c>
      <c r="AD176" s="389" t="e">
        <f t="shared" ca="1" si="131"/>
        <v>#N/A</v>
      </c>
      <c r="AE176" s="389" t="e">
        <f t="shared" ca="1" si="132"/>
        <v>#N/A</v>
      </c>
      <c r="AF176" t="e">
        <f t="shared" ca="1" si="133"/>
        <v>#N/A</v>
      </c>
      <c r="AG176" s="389" t="e">
        <f t="shared" ca="1" si="116"/>
        <v>#N/A</v>
      </c>
      <c r="AH176" s="389" t="e">
        <f t="shared" ca="1" si="106"/>
        <v>#N/A</v>
      </c>
      <c r="AI176" s="389" t="e">
        <f t="shared" ca="1" si="107"/>
        <v>#N/A</v>
      </c>
      <c r="AJ176" t="e">
        <f ca="1">SUM($AI$117:AI176)</f>
        <v>#N/A</v>
      </c>
      <c r="AK176" s="389" t="e">
        <f t="shared" ca="1" si="114"/>
        <v>#N/A</v>
      </c>
      <c r="AL176" t="e">
        <f ca="1">SUM($AK$117:AK176)</f>
        <v>#N/A</v>
      </c>
      <c r="AM176" s="406" t="e">
        <f t="shared" ca="1" si="136"/>
        <v>#N/A</v>
      </c>
      <c r="AN176" s="248" t="e">
        <f ca="1">SUM($T$117:T176)+SUM($AM$117:AM176)</f>
        <v>#N/A</v>
      </c>
      <c r="AO176" t="e">
        <f t="shared" ca="1" si="117"/>
        <v>#N/A</v>
      </c>
      <c r="AP176" t="e">
        <f ca="1">SUM($AO$117:AO176)</f>
        <v>#N/A</v>
      </c>
      <c r="AQ176" t="e">
        <f t="shared" ca="1" si="108"/>
        <v>#N/A</v>
      </c>
      <c r="AR176" t="e">
        <f t="shared" ca="1" si="100"/>
        <v>#N/A</v>
      </c>
      <c r="AS176" t="e">
        <f t="shared" ca="1" si="121"/>
        <v>#N/A</v>
      </c>
      <c r="AT176" t="e">
        <f t="shared" ca="1" si="122"/>
        <v>#N/A</v>
      </c>
      <c r="AU176" t="e">
        <f t="shared" ca="1" si="111"/>
        <v>#N/A</v>
      </c>
      <c r="AZ176" s="75"/>
    </row>
    <row r="177" spans="1:47" x14ac:dyDescent="0.25">
      <c r="A177" s="304"/>
      <c r="B177" s="105">
        <f t="shared" si="112"/>
        <v>60</v>
      </c>
      <c r="C177">
        <v>61</v>
      </c>
      <c r="D177" s="78"/>
      <c r="E177" s="78" t="e">
        <f t="shared" ca="1" si="135"/>
        <v>#N/A</v>
      </c>
      <c r="F177" t="e">
        <f t="shared" ca="1" si="134"/>
        <v>#N/A</v>
      </c>
      <c r="G177" t="e">
        <f ca="1">SUM($F$117:F177)</f>
        <v>#N/A</v>
      </c>
      <c r="H177" t="e">
        <f t="shared" si="123"/>
        <v>#N/A</v>
      </c>
      <c r="I177" t="e">
        <f t="shared" ca="1" si="124"/>
        <v>#N/A</v>
      </c>
      <c r="J177" t="e">
        <f ca="1">SUM($I$117:I177)</f>
        <v>#N/A</v>
      </c>
      <c r="K177" t="e">
        <f t="shared" ca="1" si="125"/>
        <v>#N/A</v>
      </c>
      <c r="L177" t="e">
        <f t="shared" ca="1" si="126"/>
        <v>#N/A</v>
      </c>
      <c r="M177" s="888">
        <f t="shared" si="102"/>
        <v>0.5</v>
      </c>
      <c r="N177" s="248" t="e">
        <f t="shared" ca="1" si="103"/>
        <v>#N/A</v>
      </c>
      <c r="O177" s="248" t="e">
        <f t="shared" ca="1" si="104"/>
        <v>#N/A</v>
      </c>
      <c r="P177" s="248" t="e">
        <f t="shared" ca="1" si="115"/>
        <v>#N/A</v>
      </c>
      <c r="Q177" s="244" t="e">
        <f ca="1">SUM($P$117:P177)+SUM($V$117:V177)</f>
        <v>#N/A</v>
      </c>
      <c r="R177" s="244" t="e">
        <f t="shared" ca="1" si="118"/>
        <v>#N/A</v>
      </c>
      <c r="S177" s="248" t="e">
        <f ca="1">SUM($R$117:R177)</f>
        <v>#N/A</v>
      </c>
      <c r="T177" s="244" t="e">
        <f t="shared" ca="1" si="119"/>
        <v>#N/A</v>
      </c>
      <c r="U177" s="244" t="e">
        <f ca="1">SUM($T$117:T177)</f>
        <v>#N/A</v>
      </c>
      <c r="V177" t="e">
        <f t="shared" ca="1" si="105"/>
        <v>#N/A</v>
      </c>
      <c r="W177" s="75" t="e">
        <f ca="1">SUM($V$117:V177)</f>
        <v>#N/A</v>
      </c>
      <c r="X177" s="78" t="e">
        <f t="shared" ca="1" si="127"/>
        <v>#N/A</v>
      </c>
      <c r="Y177" t="e">
        <f t="shared" si="128"/>
        <v>#N/A</v>
      </c>
      <c r="Z177" t="e">
        <f t="shared" ca="1" si="129"/>
        <v>#N/A</v>
      </c>
      <c r="AA177" s="75" t="e">
        <f ca="1">SUM($Z$117:Z177)</f>
        <v>#N/A</v>
      </c>
      <c r="AB177" t="e">
        <f t="shared" ca="1" si="130"/>
        <v>#N/A</v>
      </c>
      <c r="AC177" s="78" t="e">
        <f ca="1">SUM($AB$117:AB177)</f>
        <v>#N/A</v>
      </c>
      <c r="AD177" t="e">
        <f t="shared" ca="1" si="131"/>
        <v>#N/A</v>
      </c>
      <c r="AE177" t="e">
        <f t="shared" ca="1" si="132"/>
        <v>#N/A</v>
      </c>
      <c r="AF177" t="e">
        <f t="shared" ca="1" si="133"/>
        <v>#N/A</v>
      </c>
      <c r="AG177" t="e">
        <f t="shared" ca="1" si="116"/>
        <v>#N/A</v>
      </c>
      <c r="AH177" t="e">
        <f t="shared" ca="1" si="106"/>
        <v>#N/A</v>
      </c>
      <c r="AI177" t="e">
        <f t="shared" ca="1" si="107"/>
        <v>#N/A</v>
      </c>
      <c r="AJ177" t="e">
        <f ca="1">SUM($AI$117:AI177)</f>
        <v>#N/A</v>
      </c>
      <c r="AK177" t="e">
        <f t="shared" ca="1" si="114"/>
        <v>#N/A</v>
      </c>
      <c r="AL177" t="e">
        <f ca="1">SUM($AK$117:AK177)</f>
        <v>#N/A</v>
      </c>
      <c r="AM177" s="244" t="e">
        <f t="shared" ca="1" si="136"/>
        <v>#N/A</v>
      </c>
      <c r="AN177" s="248" t="e">
        <f ca="1">SUM($T$117:T177)+SUM($AM$117:AM177)</f>
        <v>#N/A</v>
      </c>
      <c r="AO177" t="e">
        <f t="shared" ca="1" si="117"/>
        <v>#N/A</v>
      </c>
      <c r="AP177" t="e">
        <f ca="1">SUM($AO$117:AO177)</f>
        <v>#N/A</v>
      </c>
      <c r="AQ177" t="e">
        <f t="shared" ca="1" si="108"/>
        <v>#N/A</v>
      </c>
      <c r="AR177" t="e">
        <f t="shared" ca="1" si="100"/>
        <v>#N/A</v>
      </c>
      <c r="AS177" t="e">
        <f t="shared" ca="1" si="121"/>
        <v>#N/A</v>
      </c>
      <c r="AT177" t="e">
        <f t="shared" ca="1" si="122"/>
        <v>#N/A</v>
      </c>
      <c r="AU177" t="e">
        <f t="shared" ca="1" si="111"/>
        <v>#N/A</v>
      </c>
    </row>
    <row r="178" spans="1:47" x14ac:dyDescent="0.25">
      <c r="B178" s="105">
        <f t="shared" si="112"/>
        <v>61</v>
      </c>
      <c r="C178">
        <v>62</v>
      </c>
      <c r="D178" s="78"/>
      <c r="E178" s="78" t="e">
        <f t="shared" ca="1" si="135"/>
        <v>#N/A</v>
      </c>
      <c r="F178" t="e">
        <f t="shared" ca="1" si="134"/>
        <v>#N/A</v>
      </c>
      <c r="G178" t="e">
        <f ca="1">SUM($F$117:F178)</f>
        <v>#N/A</v>
      </c>
      <c r="H178" t="e">
        <f t="shared" si="123"/>
        <v>#N/A</v>
      </c>
      <c r="I178" t="e">
        <f t="shared" ca="1" si="124"/>
        <v>#N/A</v>
      </c>
      <c r="J178" t="e">
        <f ca="1">SUM($I$117:I178)</f>
        <v>#N/A</v>
      </c>
      <c r="K178" t="e">
        <f t="shared" ca="1" si="125"/>
        <v>#N/A</v>
      </c>
      <c r="L178" t="e">
        <f t="shared" ca="1" si="126"/>
        <v>#N/A</v>
      </c>
      <c r="M178" s="888">
        <f t="shared" si="102"/>
        <v>0.5</v>
      </c>
      <c r="N178" s="248" t="e">
        <f t="shared" ca="1" si="103"/>
        <v>#N/A</v>
      </c>
      <c r="O178" s="248" t="e">
        <f t="shared" ca="1" si="104"/>
        <v>#N/A</v>
      </c>
      <c r="P178" s="248" t="e">
        <f t="shared" ca="1" si="115"/>
        <v>#N/A</v>
      </c>
      <c r="Q178" s="244" t="e">
        <f ca="1">SUM($P$117:P178)+SUM($V$117:V178)</f>
        <v>#N/A</v>
      </c>
      <c r="R178" s="244" t="e">
        <f t="shared" ca="1" si="118"/>
        <v>#N/A</v>
      </c>
      <c r="S178" s="248" t="e">
        <f ca="1">SUM($R$117:R178)</f>
        <v>#N/A</v>
      </c>
      <c r="T178" s="244" t="e">
        <f t="shared" ca="1" si="119"/>
        <v>#N/A</v>
      </c>
      <c r="U178" s="244" t="e">
        <f ca="1">SUM($T$117:T178)</f>
        <v>#N/A</v>
      </c>
      <c r="V178" t="e">
        <f t="shared" ca="1" si="105"/>
        <v>#N/A</v>
      </c>
      <c r="W178" s="75" t="e">
        <f ca="1">SUM($V$117:V178)</f>
        <v>#N/A</v>
      </c>
      <c r="X178" s="78" t="e">
        <f t="shared" ca="1" si="127"/>
        <v>#N/A</v>
      </c>
      <c r="Y178" t="e">
        <f t="shared" si="128"/>
        <v>#N/A</v>
      </c>
      <c r="Z178" t="e">
        <f t="shared" ca="1" si="129"/>
        <v>#N/A</v>
      </c>
      <c r="AA178" s="75" t="e">
        <f ca="1">SUM($Z$117:Z178)</f>
        <v>#N/A</v>
      </c>
      <c r="AB178" t="e">
        <f t="shared" ca="1" si="130"/>
        <v>#N/A</v>
      </c>
      <c r="AC178" s="78" t="e">
        <f ca="1">SUM($AB$117:AB178)</f>
        <v>#N/A</v>
      </c>
      <c r="AD178" t="e">
        <f t="shared" ca="1" si="131"/>
        <v>#N/A</v>
      </c>
      <c r="AE178" t="e">
        <f t="shared" ca="1" si="132"/>
        <v>#N/A</v>
      </c>
      <c r="AF178" t="e">
        <f t="shared" ca="1" si="133"/>
        <v>#N/A</v>
      </c>
      <c r="AG178" t="e">
        <f t="shared" ca="1" si="116"/>
        <v>#N/A</v>
      </c>
      <c r="AH178" t="e">
        <f t="shared" ca="1" si="106"/>
        <v>#N/A</v>
      </c>
      <c r="AI178" t="e">
        <f t="shared" ca="1" si="107"/>
        <v>#N/A</v>
      </c>
      <c r="AJ178" t="e">
        <f ca="1">SUM($AI$117:AI178)</f>
        <v>#N/A</v>
      </c>
      <c r="AK178" t="e">
        <f t="shared" ca="1" si="114"/>
        <v>#N/A</v>
      </c>
      <c r="AL178" t="e">
        <f ca="1">SUM($AK$117:AK178)</f>
        <v>#N/A</v>
      </c>
      <c r="AM178" s="244" t="e">
        <f t="shared" ca="1" si="136"/>
        <v>#N/A</v>
      </c>
      <c r="AN178" s="248" t="e">
        <f ca="1">SUM($T$117:T178)+SUM($AM$117:AM178)</f>
        <v>#N/A</v>
      </c>
      <c r="AO178" t="e">
        <f t="shared" ca="1" si="117"/>
        <v>#N/A</v>
      </c>
      <c r="AP178" t="e">
        <f ca="1">SUM($AO$117:AO178)</f>
        <v>#N/A</v>
      </c>
      <c r="AQ178" t="e">
        <f t="shared" ca="1" si="108"/>
        <v>#N/A</v>
      </c>
      <c r="AR178" t="e">
        <f t="shared" ca="1" si="100"/>
        <v>#N/A</v>
      </c>
      <c r="AS178" t="e">
        <f t="shared" ca="1" si="121"/>
        <v>#N/A</v>
      </c>
      <c r="AT178" t="e">
        <f t="shared" ca="1" si="122"/>
        <v>#N/A</v>
      </c>
      <c r="AU178" t="e">
        <f t="shared" ca="1" si="111"/>
        <v>#N/A</v>
      </c>
    </row>
    <row r="179" spans="1:47" x14ac:dyDescent="0.25">
      <c r="B179" s="105">
        <f t="shared" si="112"/>
        <v>62</v>
      </c>
      <c r="C179">
        <v>63</v>
      </c>
      <c r="D179" s="78"/>
      <c r="E179" s="78" t="e">
        <f t="shared" ca="1" si="135"/>
        <v>#N/A</v>
      </c>
      <c r="F179" t="e">
        <f t="shared" ca="1" si="134"/>
        <v>#N/A</v>
      </c>
      <c r="G179" t="e">
        <f ca="1">SUM($F$117:F179)</f>
        <v>#N/A</v>
      </c>
      <c r="H179" t="e">
        <f t="shared" si="123"/>
        <v>#N/A</v>
      </c>
      <c r="I179" t="e">
        <f t="shared" ca="1" si="124"/>
        <v>#N/A</v>
      </c>
      <c r="J179" t="e">
        <f ca="1">SUM($I$117:I179)</f>
        <v>#N/A</v>
      </c>
      <c r="K179" t="e">
        <f t="shared" ca="1" si="125"/>
        <v>#N/A</v>
      </c>
      <c r="L179" t="e">
        <f t="shared" ca="1" si="126"/>
        <v>#N/A</v>
      </c>
      <c r="M179" s="888">
        <f t="shared" si="102"/>
        <v>0.5</v>
      </c>
      <c r="N179" s="248" t="e">
        <f t="shared" ca="1" si="103"/>
        <v>#N/A</v>
      </c>
      <c r="O179" s="248" t="e">
        <f t="shared" ca="1" si="104"/>
        <v>#N/A</v>
      </c>
      <c r="P179" s="248" t="e">
        <f t="shared" ca="1" si="115"/>
        <v>#N/A</v>
      </c>
      <c r="Q179" s="244" t="e">
        <f ca="1">SUM($P$117:P179)+SUM($V$117:V179)</f>
        <v>#N/A</v>
      </c>
      <c r="R179" s="244" t="e">
        <f t="shared" ca="1" si="118"/>
        <v>#N/A</v>
      </c>
      <c r="S179" s="248" t="e">
        <f ca="1">SUM($R$117:R179)</f>
        <v>#N/A</v>
      </c>
      <c r="T179" s="244" t="e">
        <f t="shared" ca="1" si="119"/>
        <v>#N/A</v>
      </c>
      <c r="U179" s="244" t="e">
        <f ca="1">SUM($T$117:T179)</f>
        <v>#N/A</v>
      </c>
      <c r="V179" t="e">
        <f t="shared" ca="1" si="105"/>
        <v>#N/A</v>
      </c>
      <c r="W179" s="75" t="e">
        <f ca="1">SUM($V$117:V179)</f>
        <v>#N/A</v>
      </c>
      <c r="X179" s="78" t="e">
        <f t="shared" ca="1" si="127"/>
        <v>#N/A</v>
      </c>
      <c r="Y179" t="e">
        <f t="shared" si="128"/>
        <v>#N/A</v>
      </c>
      <c r="Z179" t="e">
        <f t="shared" ca="1" si="129"/>
        <v>#N/A</v>
      </c>
      <c r="AA179" s="75" t="e">
        <f ca="1">SUM($Z$117:Z179)</f>
        <v>#N/A</v>
      </c>
      <c r="AB179" t="e">
        <f t="shared" ca="1" si="130"/>
        <v>#N/A</v>
      </c>
      <c r="AC179" s="78" t="e">
        <f ca="1">SUM($AB$117:AB179)</f>
        <v>#N/A</v>
      </c>
      <c r="AD179" t="e">
        <f t="shared" ca="1" si="131"/>
        <v>#N/A</v>
      </c>
      <c r="AE179" t="e">
        <f t="shared" ca="1" si="132"/>
        <v>#N/A</v>
      </c>
      <c r="AF179" t="e">
        <f t="shared" ca="1" si="133"/>
        <v>#N/A</v>
      </c>
      <c r="AG179" t="e">
        <f t="shared" ca="1" si="116"/>
        <v>#N/A</v>
      </c>
      <c r="AH179" t="e">
        <f t="shared" ca="1" si="106"/>
        <v>#N/A</v>
      </c>
      <c r="AI179" t="e">
        <f t="shared" ca="1" si="107"/>
        <v>#N/A</v>
      </c>
      <c r="AJ179" t="e">
        <f ca="1">SUM($AI$117:AI179)</f>
        <v>#N/A</v>
      </c>
      <c r="AK179" t="e">
        <f t="shared" ca="1" si="114"/>
        <v>#N/A</v>
      </c>
      <c r="AL179" t="e">
        <f ca="1">SUM($AK$117:AK179)</f>
        <v>#N/A</v>
      </c>
      <c r="AM179" s="244" t="e">
        <f t="shared" ca="1" si="136"/>
        <v>#N/A</v>
      </c>
      <c r="AN179" s="248" t="e">
        <f ca="1">SUM($T$117:T179)+SUM($AM$117:AM179)</f>
        <v>#N/A</v>
      </c>
      <c r="AO179" t="e">
        <f t="shared" ca="1" si="117"/>
        <v>#N/A</v>
      </c>
      <c r="AP179" t="e">
        <f ca="1">SUM($AO$117:AO179)</f>
        <v>#N/A</v>
      </c>
      <c r="AQ179" t="e">
        <f t="shared" ca="1" si="108"/>
        <v>#N/A</v>
      </c>
      <c r="AR179" t="e">
        <f t="shared" ca="1" si="100"/>
        <v>#N/A</v>
      </c>
      <c r="AS179" t="e">
        <f t="shared" ca="1" si="121"/>
        <v>#N/A</v>
      </c>
      <c r="AT179" t="e">
        <f t="shared" ca="1" si="122"/>
        <v>#N/A</v>
      </c>
      <c r="AU179" t="e">
        <f t="shared" ca="1" si="111"/>
        <v>#N/A</v>
      </c>
    </row>
    <row r="180" spans="1:47" ht="12.75" customHeight="1" x14ac:dyDescent="0.25">
      <c r="B180" s="105">
        <f t="shared" si="112"/>
        <v>63</v>
      </c>
      <c r="C180">
        <v>64</v>
      </c>
      <c r="D180" s="78"/>
      <c r="E180" s="78" t="e">
        <f t="shared" ca="1" si="135"/>
        <v>#N/A</v>
      </c>
      <c r="F180" t="e">
        <f t="shared" ca="1" si="134"/>
        <v>#N/A</v>
      </c>
      <c r="G180" t="e">
        <f ca="1">SUM($F$117:F180)</f>
        <v>#N/A</v>
      </c>
      <c r="H180" t="e">
        <f t="shared" si="123"/>
        <v>#N/A</v>
      </c>
      <c r="I180" t="e">
        <f t="shared" ca="1" si="124"/>
        <v>#N/A</v>
      </c>
      <c r="J180" t="e">
        <f ca="1">SUM($I$117:I180)</f>
        <v>#N/A</v>
      </c>
      <c r="K180" t="e">
        <f t="shared" ca="1" si="125"/>
        <v>#N/A</v>
      </c>
      <c r="L180" t="e">
        <f t="shared" ca="1" si="126"/>
        <v>#N/A</v>
      </c>
      <c r="M180" s="888">
        <f t="shared" si="102"/>
        <v>0.5</v>
      </c>
      <c r="N180" s="248" t="e">
        <f t="shared" ca="1" si="103"/>
        <v>#N/A</v>
      </c>
      <c r="O180" s="248" t="e">
        <f t="shared" ca="1" si="104"/>
        <v>#N/A</v>
      </c>
      <c r="P180" s="248" t="e">
        <f t="shared" ca="1" si="115"/>
        <v>#N/A</v>
      </c>
      <c r="Q180" s="244" t="e">
        <f ca="1">SUM($P$117:P180)+SUM($V$117:V180)</f>
        <v>#N/A</v>
      </c>
      <c r="R180" s="244" t="e">
        <f t="shared" ca="1" si="118"/>
        <v>#N/A</v>
      </c>
      <c r="S180" s="248" t="e">
        <f ca="1">SUM($R$117:R180)</f>
        <v>#N/A</v>
      </c>
      <c r="T180" s="244" t="e">
        <f t="shared" ca="1" si="119"/>
        <v>#N/A</v>
      </c>
      <c r="U180" s="244" t="e">
        <f ca="1">SUM($T$117:T180)</f>
        <v>#N/A</v>
      </c>
      <c r="V180" t="e">
        <f t="shared" ca="1" si="105"/>
        <v>#N/A</v>
      </c>
      <c r="W180" s="75" t="e">
        <f ca="1">SUM($V$117:V180)</f>
        <v>#N/A</v>
      </c>
      <c r="X180" s="78" t="e">
        <f t="shared" ca="1" si="127"/>
        <v>#N/A</v>
      </c>
      <c r="Y180" t="e">
        <f t="shared" si="128"/>
        <v>#N/A</v>
      </c>
      <c r="Z180" t="e">
        <f t="shared" ca="1" si="129"/>
        <v>#N/A</v>
      </c>
      <c r="AA180" s="75" t="e">
        <f ca="1">SUM($Z$117:Z180)</f>
        <v>#N/A</v>
      </c>
      <c r="AB180" t="e">
        <f t="shared" ca="1" si="130"/>
        <v>#N/A</v>
      </c>
      <c r="AC180" s="78" t="e">
        <f ca="1">SUM($AB$117:AB180)</f>
        <v>#N/A</v>
      </c>
      <c r="AD180" t="e">
        <f t="shared" ca="1" si="131"/>
        <v>#N/A</v>
      </c>
      <c r="AE180" t="e">
        <f t="shared" ca="1" si="132"/>
        <v>#N/A</v>
      </c>
      <c r="AF180" t="e">
        <f t="shared" ca="1" si="133"/>
        <v>#N/A</v>
      </c>
      <c r="AG180" t="e">
        <f t="shared" ca="1" si="116"/>
        <v>#N/A</v>
      </c>
      <c r="AH180" t="e">
        <f t="shared" ca="1" si="106"/>
        <v>#N/A</v>
      </c>
      <c r="AI180" t="e">
        <f t="shared" ca="1" si="107"/>
        <v>#N/A</v>
      </c>
      <c r="AJ180" t="e">
        <f ca="1">SUM($AI$117:AI180)</f>
        <v>#N/A</v>
      </c>
      <c r="AK180" t="e">
        <f t="shared" ca="1" si="114"/>
        <v>#N/A</v>
      </c>
      <c r="AL180" t="e">
        <f ca="1">SUM($AK$117:AK180)</f>
        <v>#N/A</v>
      </c>
      <c r="AM180" s="244" t="e">
        <f t="shared" ca="1" si="136"/>
        <v>#N/A</v>
      </c>
      <c r="AN180" s="248" t="e">
        <f ca="1">SUM($T$117:T180)+SUM($AM$117:AM180)</f>
        <v>#N/A</v>
      </c>
      <c r="AO180" t="e">
        <f t="shared" ca="1" si="117"/>
        <v>#N/A</v>
      </c>
      <c r="AP180" t="e">
        <f ca="1">SUM($AO$117:AO180)</f>
        <v>#N/A</v>
      </c>
      <c r="AQ180" t="e">
        <f t="shared" ca="1" si="108"/>
        <v>#N/A</v>
      </c>
      <c r="AR180" t="e">
        <f t="shared" ca="1" si="100"/>
        <v>#N/A</v>
      </c>
      <c r="AS180" t="e">
        <f t="shared" ca="1" si="121"/>
        <v>#N/A</v>
      </c>
      <c r="AT180" t="e">
        <f t="shared" ca="1" si="122"/>
        <v>#N/A</v>
      </c>
      <c r="AU180" t="e">
        <f t="shared" ca="1" si="111"/>
        <v>#N/A</v>
      </c>
    </row>
    <row r="181" spans="1:47" x14ac:dyDescent="0.25">
      <c r="B181" s="105">
        <f t="shared" si="112"/>
        <v>64</v>
      </c>
      <c r="C181">
        <v>65</v>
      </c>
      <c r="D181" s="78"/>
      <c r="E181" s="78">
        <f t="shared" si="135"/>
        <v>0</v>
      </c>
      <c r="F181">
        <f t="shared" si="134"/>
        <v>0</v>
      </c>
      <c r="G181" t="e">
        <f ca="1">SUM($F$117:F181)</f>
        <v>#N/A</v>
      </c>
      <c r="H181" t="e">
        <f t="shared" ref="H181:H196" si="137">IF(B181&lt;$D$8,$C$11,$D$11)</f>
        <v>#N/A</v>
      </c>
      <c r="I181" t="e">
        <f t="shared" ref="I181:I196" si="138">ROUND((E181-(E181*$D$14))*H181,0)</f>
        <v>#N/A</v>
      </c>
      <c r="J181" t="e">
        <f ca="1">SUM($I$117:I181)</f>
        <v>#N/A</v>
      </c>
      <c r="K181" t="e">
        <f t="shared" ref="K181:K196" si="139">ROUND(I181*$C$17,0)</f>
        <v>#N/A</v>
      </c>
      <c r="L181" t="e">
        <f t="shared" ref="L181:L196" si="140">ROUND((I181*(1-$C$17)),0)</f>
        <v>#N/A</v>
      </c>
      <c r="M181" s="888">
        <f t="shared" si="102"/>
        <v>0.5</v>
      </c>
      <c r="N181" s="248" t="e">
        <f t="shared" si="103"/>
        <v>#N/A</v>
      </c>
      <c r="O181" s="248" t="e">
        <f t="shared" si="104"/>
        <v>#N/A</v>
      </c>
      <c r="P181" s="248" t="e">
        <f t="shared" ca="1" si="115"/>
        <v>#N/A</v>
      </c>
      <c r="Q181" s="244" t="e">
        <f ca="1">SUM($P$117:P181)+SUM($V$117:V181)</f>
        <v>#N/A</v>
      </c>
      <c r="R181" s="244" t="e">
        <f t="shared" ca="1" si="118"/>
        <v>#N/A</v>
      </c>
      <c r="S181" s="248" t="e">
        <f ca="1">SUM($R$117:R181)</f>
        <v>#N/A</v>
      </c>
      <c r="T181" s="244" t="e">
        <f t="shared" ca="1" si="119"/>
        <v>#N/A</v>
      </c>
      <c r="U181" s="244" t="e">
        <f ca="1">SUM($T$117:T181)</f>
        <v>#N/A</v>
      </c>
      <c r="V181" t="e">
        <f t="shared" ca="1" si="105"/>
        <v>#N/A</v>
      </c>
      <c r="W181" s="75" t="e">
        <f ca="1">SUM($V$117:V181)</f>
        <v>#N/A</v>
      </c>
      <c r="X181" s="78" t="e">
        <f t="shared" ref="X181:X196" si="141">E181-F181-I181</f>
        <v>#N/A</v>
      </c>
      <c r="Y181" t="e">
        <f t="shared" ref="Y181:Y196" si="142">IF(B181&lt;$D$8,$C$12,$D$12)</f>
        <v>#N/A</v>
      </c>
      <c r="Z181" t="e">
        <f t="shared" ref="Z181:Z196" si="143">ROUND(F181*Y181,0)</f>
        <v>#N/A</v>
      </c>
      <c r="AA181" s="75" t="e">
        <f ca="1">SUM($Z$117:Z181)</f>
        <v>#N/A</v>
      </c>
      <c r="AB181" t="e">
        <f t="shared" ref="AB181:AB196" si="144">SUM(I181,Z181)</f>
        <v>#N/A</v>
      </c>
      <c r="AC181" s="78" t="e">
        <f ca="1">SUM($AB$117:AB181)</f>
        <v>#N/A</v>
      </c>
      <c r="AD181" t="e">
        <f t="shared" ref="AD181:AD196" si="145">F181-Z181</f>
        <v>#N/A</v>
      </c>
      <c r="AE181" t="e">
        <f t="shared" ref="AE181:AE196" si="146">ROUND(Z181*$D$17,0)</f>
        <v>#N/A</v>
      </c>
      <c r="AF181" t="e">
        <f t="shared" ref="AF181:AF196" si="147">ROUND(Z181*(1-$D$17),0)</f>
        <v>#N/A</v>
      </c>
      <c r="AG181" t="e">
        <f t="shared" ca="1" si="116"/>
        <v>#N/A</v>
      </c>
      <c r="AH181" t="e">
        <f t="shared" ca="1" si="106"/>
        <v>#N/A</v>
      </c>
      <c r="AI181" t="e">
        <f t="shared" ca="1" si="107"/>
        <v>#N/A</v>
      </c>
      <c r="AJ181" t="e">
        <f ca="1">SUM($AI$117:AI181)</f>
        <v>#N/A</v>
      </c>
      <c r="AK181" t="e">
        <f t="shared" ca="1" si="114"/>
        <v>#N/A</v>
      </c>
      <c r="AL181" t="e">
        <f ca="1">SUM($AK$117:AK181)</f>
        <v>#N/A</v>
      </c>
      <c r="AM181" s="244" t="e">
        <f t="shared" ca="1" si="136"/>
        <v>#N/A</v>
      </c>
      <c r="AN181" s="248" t="e">
        <f ca="1">SUM($T$117:T181)+SUM($AM$117:AM181)</f>
        <v>#N/A</v>
      </c>
      <c r="AO181" t="e">
        <f t="shared" ca="1" si="117"/>
        <v>#N/A</v>
      </c>
      <c r="AP181" t="e">
        <f ca="1">SUM($AO$117:AO181)</f>
        <v>#N/A</v>
      </c>
      <c r="AQ181" t="e">
        <f t="shared" ca="1" si="108"/>
        <v>#N/A</v>
      </c>
      <c r="AR181" t="e">
        <f t="shared" ref="AR181:AR196" ca="1" si="148">U181+W181+AA181</f>
        <v>#N/A</v>
      </c>
      <c r="AS181" t="e">
        <f t="shared" ca="1" si="121"/>
        <v>#N/A</v>
      </c>
      <c r="AT181" t="e">
        <f t="shared" ca="1" si="122"/>
        <v>#N/A</v>
      </c>
      <c r="AU181" t="e">
        <f t="shared" ca="1" si="111"/>
        <v>#N/A</v>
      </c>
    </row>
    <row r="182" spans="1:47" x14ac:dyDescent="0.25">
      <c r="B182" s="105">
        <f t="shared" si="112"/>
        <v>65</v>
      </c>
      <c r="C182">
        <v>66</v>
      </c>
      <c r="E182" s="78">
        <f t="shared" si="135"/>
        <v>0</v>
      </c>
      <c r="F182">
        <f t="shared" ref="F182:F196" si="149">IF(AND(E182&gt;0.5,E182&lt;1.5),1,ROUND(E182*$D$14,0))</f>
        <v>0</v>
      </c>
      <c r="G182" t="e">
        <f ca="1">SUM($F$117:F182)</f>
        <v>#N/A</v>
      </c>
      <c r="H182" t="e">
        <f t="shared" si="137"/>
        <v>#N/A</v>
      </c>
      <c r="I182" t="e">
        <f t="shared" si="138"/>
        <v>#N/A</v>
      </c>
      <c r="J182" t="e">
        <f ca="1">SUM($I$117:I182)</f>
        <v>#N/A</v>
      </c>
      <c r="K182" t="e">
        <f t="shared" si="139"/>
        <v>#N/A</v>
      </c>
      <c r="L182" t="e">
        <f t="shared" si="140"/>
        <v>#N/A</v>
      </c>
      <c r="M182" s="888">
        <f t="shared" ref="M182:M196" si="150">$D$13</f>
        <v>0.5</v>
      </c>
      <c r="N182" s="248" t="e">
        <f t="shared" ref="N182:N196" si="151">K182-O182</f>
        <v>#N/A</v>
      </c>
      <c r="O182" s="248" t="e">
        <f t="shared" ref="O182:O196" si="152">ROUND(K182*M182,0)</f>
        <v>#N/A</v>
      </c>
      <c r="P182" s="248" t="e">
        <f t="shared" ca="1" si="115"/>
        <v>#N/A</v>
      </c>
      <c r="Q182" s="244" t="e">
        <f ca="1">SUM($P$117:P182)+SUM($V$117:V182)</f>
        <v>#N/A</v>
      </c>
      <c r="R182" s="244" t="e">
        <f t="shared" ca="1" si="118"/>
        <v>#N/A</v>
      </c>
      <c r="S182" s="248" t="e">
        <f ca="1">SUM($R$117:R182)</f>
        <v>#N/A</v>
      </c>
      <c r="T182" s="244" t="e">
        <f t="shared" ca="1" si="119"/>
        <v>#N/A</v>
      </c>
      <c r="U182" s="244" t="e">
        <f ca="1">SUM($T$117:T182)</f>
        <v>#N/A</v>
      </c>
      <c r="V182" t="e">
        <f t="shared" ref="V182:V196" si="153">ROUND(L181*0.5+L182*0.5,0)</f>
        <v>#N/A</v>
      </c>
      <c r="W182" s="75" t="e">
        <f ca="1">SUM($V$117:V182)</f>
        <v>#N/A</v>
      </c>
      <c r="X182" s="78" t="e">
        <f t="shared" si="141"/>
        <v>#N/A</v>
      </c>
      <c r="Y182" t="e">
        <f t="shared" si="142"/>
        <v>#N/A</v>
      </c>
      <c r="Z182" t="e">
        <f t="shared" si="143"/>
        <v>#N/A</v>
      </c>
      <c r="AA182" s="75" t="e">
        <f ca="1">SUM($Z$117:Z182)</f>
        <v>#N/A</v>
      </c>
      <c r="AB182" t="e">
        <f t="shared" si="144"/>
        <v>#N/A</v>
      </c>
      <c r="AC182" s="78" t="e">
        <f ca="1">SUM($AB$117:AB182)</f>
        <v>#N/A</v>
      </c>
      <c r="AD182" t="e">
        <f t="shared" si="145"/>
        <v>#N/A</v>
      </c>
      <c r="AE182" t="e">
        <f t="shared" si="146"/>
        <v>#N/A</v>
      </c>
      <c r="AF182" t="e">
        <f t="shared" si="147"/>
        <v>#N/A</v>
      </c>
      <c r="AG182" t="e">
        <f t="shared" si="116"/>
        <v>#N/A</v>
      </c>
      <c r="AH182" t="e">
        <f t="shared" ref="AH182:AH196" ca="1" si="154">V181*1</f>
        <v>#N/A</v>
      </c>
      <c r="AI182" t="e">
        <f t="shared" ref="AI182:AI196" si="155">SUM(AG182:AH182)</f>
        <v>#N/A</v>
      </c>
      <c r="AJ182" t="e">
        <f ca="1">SUM($AI$117:AI182)</f>
        <v>#N/A</v>
      </c>
      <c r="AK182" t="e">
        <f t="shared" si="114"/>
        <v>#N/A</v>
      </c>
      <c r="AL182" t="e">
        <f ca="1">SUM($AK$117:AK182)</f>
        <v>#N/A</v>
      </c>
      <c r="AM182" s="244" t="e">
        <f t="shared" ca="1" si="136"/>
        <v>#N/A</v>
      </c>
      <c r="AN182" s="248" t="e">
        <f ca="1">SUM($T$117:T182)+SUM($AM$117:AM182)</f>
        <v>#N/A</v>
      </c>
      <c r="AO182" t="e">
        <f t="shared" ca="1" si="117"/>
        <v>#N/A</v>
      </c>
      <c r="AP182" t="e">
        <f ca="1">SUM($AO$117:AO182)</f>
        <v>#N/A</v>
      </c>
      <c r="AQ182" t="e">
        <f t="shared" ref="AQ182:AQ196" ca="1" si="156">P182+V182+Z182</f>
        <v>#N/A</v>
      </c>
      <c r="AR182" t="e">
        <f t="shared" ca="1" si="148"/>
        <v>#N/A</v>
      </c>
      <c r="AS182" t="e">
        <f t="shared" ca="1" si="121"/>
        <v>#N/A</v>
      </c>
      <c r="AT182" t="e">
        <f t="shared" ca="1" si="122"/>
        <v>#N/A</v>
      </c>
      <c r="AU182" t="e">
        <f t="shared" ref="AU182:AU196" ca="1" si="157">AS182+AT182</f>
        <v>#N/A</v>
      </c>
    </row>
    <row r="183" spans="1:47" x14ac:dyDescent="0.25">
      <c r="B183" s="105">
        <f t="shared" ref="B183:B196" si="158">B182+1</f>
        <v>66</v>
      </c>
      <c r="C183">
        <v>67</v>
      </c>
      <c r="E183" s="78">
        <f t="shared" si="135"/>
        <v>0</v>
      </c>
      <c r="F183">
        <f t="shared" si="149"/>
        <v>0</v>
      </c>
      <c r="G183" t="e">
        <f ca="1">SUM($F$117:F183)</f>
        <v>#N/A</v>
      </c>
      <c r="H183" t="e">
        <f t="shared" si="137"/>
        <v>#N/A</v>
      </c>
      <c r="I183" t="e">
        <f t="shared" si="138"/>
        <v>#N/A</v>
      </c>
      <c r="J183" t="e">
        <f ca="1">SUM($I$117:I183)</f>
        <v>#N/A</v>
      </c>
      <c r="K183" t="e">
        <f t="shared" si="139"/>
        <v>#N/A</v>
      </c>
      <c r="L183" t="e">
        <f t="shared" si="140"/>
        <v>#N/A</v>
      </c>
      <c r="M183" s="888">
        <f t="shared" si="150"/>
        <v>0.5</v>
      </c>
      <c r="N183" s="248" t="e">
        <f t="shared" si="151"/>
        <v>#N/A</v>
      </c>
      <c r="O183" s="248" t="e">
        <f t="shared" si="152"/>
        <v>#N/A</v>
      </c>
      <c r="P183" s="248" t="e">
        <f t="shared" ca="1" si="115"/>
        <v>#N/A</v>
      </c>
      <c r="Q183" s="244" t="e">
        <f ca="1">SUM($P$117:P183)+SUM($V$117:V183)</f>
        <v>#N/A</v>
      </c>
      <c r="R183" s="244" t="e">
        <f t="shared" ca="1" si="118"/>
        <v>#N/A</v>
      </c>
      <c r="S183" s="248" t="e">
        <f ca="1">SUM($R$117:R183)</f>
        <v>#N/A</v>
      </c>
      <c r="T183" s="244" t="e">
        <f t="shared" ca="1" si="119"/>
        <v>#N/A</v>
      </c>
      <c r="U183" s="244" t="e">
        <f ca="1">SUM($T$117:T183)</f>
        <v>#N/A</v>
      </c>
      <c r="V183" t="e">
        <f t="shared" si="153"/>
        <v>#N/A</v>
      </c>
      <c r="W183" s="75" t="e">
        <f ca="1">SUM($V$117:V183)</f>
        <v>#N/A</v>
      </c>
      <c r="X183" s="78" t="e">
        <f t="shared" si="141"/>
        <v>#N/A</v>
      </c>
      <c r="Y183" t="e">
        <f t="shared" si="142"/>
        <v>#N/A</v>
      </c>
      <c r="Z183" t="e">
        <f t="shared" si="143"/>
        <v>#N/A</v>
      </c>
      <c r="AA183" s="75" t="e">
        <f ca="1">SUM($Z$117:Z183)</f>
        <v>#N/A</v>
      </c>
      <c r="AB183" t="e">
        <f t="shared" si="144"/>
        <v>#N/A</v>
      </c>
      <c r="AC183" s="78" t="e">
        <f ca="1">SUM($AB$117:AB183)</f>
        <v>#N/A</v>
      </c>
      <c r="AD183" t="e">
        <f t="shared" si="145"/>
        <v>#N/A</v>
      </c>
      <c r="AE183" t="e">
        <f t="shared" si="146"/>
        <v>#N/A</v>
      </c>
      <c r="AF183" t="e">
        <f t="shared" si="147"/>
        <v>#N/A</v>
      </c>
      <c r="AG183" t="e">
        <f t="shared" si="116"/>
        <v>#N/A</v>
      </c>
      <c r="AH183" t="e">
        <f t="shared" si="154"/>
        <v>#N/A</v>
      </c>
      <c r="AI183" t="e">
        <f t="shared" si="155"/>
        <v>#N/A</v>
      </c>
      <c r="AJ183" t="e">
        <f ca="1">SUM($AI$117:AI183)</f>
        <v>#N/A</v>
      </c>
      <c r="AK183" t="e">
        <f t="shared" si="114"/>
        <v>#N/A</v>
      </c>
      <c r="AL183" t="e">
        <f ca="1">SUM($AK$117:AK183)</f>
        <v>#N/A</v>
      </c>
      <c r="AM183" s="244" t="e">
        <f t="shared" ca="1" si="136"/>
        <v>#N/A</v>
      </c>
      <c r="AN183" s="248" t="e">
        <f ca="1">SUM($T$117:T183)+SUM($AM$117:AM183)</f>
        <v>#N/A</v>
      </c>
      <c r="AO183" t="e">
        <f t="shared" ca="1" si="117"/>
        <v>#N/A</v>
      </c>
      <c r="AP183" t="e">
        <f ca="1">SUM($AO$117:AO183)</f>
        <v>#N/A</v>
      </c>
      <c r="AQ183" t="e">
        <f t="shared" ca="1" si="156"/>
        <v>#N/A</v>
      </c>
      <c r="AR183" t="e">
        <f t="shared" ca="1" si="148"/>
        <v>#N/A</v>
      </c>
      <c r="AS183" t="e">
        <f t="shared" ca="1" si="121"/>
        <v>#N/A</v>
      </c>
      <c r="AT183" t="e">
        <f t="shared" ca="1" si="122"/>
        <v>#N/A</v>
      </c>
      <c r="AU183" t="e">
        <f t="shared" ca="1" si="157"/>
        <v>#N/A</v>
      </c>
    </row>
    <row r="184" spans="1:47" x14ac:dyDescent="0.25">
      <c r="B184" s="105">
        <f t="shared" si="158"/>
        <v>67</v>
      </c>
      <c r="C184">
        <v>68</v>
      </c>
      <c r="E184" s="78">
        <f t="shared" si="135"/>
        <v>0</v>
      </c>
      <c r="F184">
        <f t="shared" si="149"/>
        <v>0</v>
      </c>
      <c r="G184" t="e">
        <f ca="1">SUM($F$117:F184)</f>
        <v>#N/A</v>
      </c>
      <c r="H184" t="e">
        <f t="shared" si="137"/>
        <v>#N/A</v>
      </c>
      <c r="I184" t="e">
        <f t="shared" si="138"/>
        <v>#N/A</v>
      </c>
      <c r="J184" t="e">
        <f ca="1">SUM($I$117:I184)</f>
        <v>#N/A</v>
      </c>
      <c r="K184" t="e">
        <f t="shared" si="139"/>
        <v>#N/A</v>
      </c>
      <c r="L184" t="e">
        <f t="shared" si="140"/>
        <v>#N/A</v>
      </c>
      <c r="M184" s="888">
        <f t="shared" si="150"/>
        <v>0.5</v>
      </c>
      <c r="N184" s="248" t="e">
        <f t="shared" si="151"/>
        <v>#N/A</v>
      </c>
      <c r="O184" s="248" t="e">
        <f t="shared" si="152"/>
        <v>#N/A</v>
      </c>
      <c r="P184" s="248" t="e">
        <f t="shared" ca="1" si="115"/>
        <v>#N/A</v>
      </c>
      <c r="Q184" s="244" t="e">
        <f ca="1">SUM($P$117:P184)+SUM($V$117:V184)</f>
        <v>#N/A</v>
      </c>
      <c r="R184" s="244" t="e">
        <f t="shared" ca="1" si="118"/>
        <v>#N/A</v>
      </c>
      <c r="S184" s="248" t="e">
        <f ca="1">SUM($R$117:R184)</f>
        <v>#N/A</v>
      </c>
      <c r="T184" s="244" t="e">
        <f t="shared" ca="1" si="119"/>
        <v>#N/A</v>
      </c>
      <c r="U184" s="244" t="e">
        <f ca="1">SUM($T$117:T184)</f>
        <v>#N/A</v>
      </c>
      <c r="V184" t="e">
        <f t="shared" si="153"/>
        <v>#N/A</v>
      </c>
      <c r="W184" s="75" t="e">
        <f ca="1">SUM($V$117:V184)</f>
        <v>#N/A</v>
      </c>
      <c r="X184" s="78" t="e">
        <f t="shared" si="141"/>
        <v>#N/A</v>
      </c>
      <c r="Y184" t="e">
        <f t="shared" si="142"/>
        <v>#N/A</v>
      </c>
      <c r="Z184" t="e">
        <f t="shared" si="143"/>
        <v>#N/A</v>
      </c>
      <c r="AA184" s="75" t="e">
        <f ca="1">SUM($Z$117:Z184)</f>
        <v>#N/A</v>
      </c>
      <c r="AB184" t="e">
        <f t="shared" si="144"/>
        <v>#N/A</v>
      </c>
      <c r="AC184" s="78" t="e">
        <f ca="1">SUM($AB$117:AB184)</f>
        <v>#N/A</v>
      </c>
      <c r="AD184" t="e">
        <f t="shared" si="145"/>
        <v>#N/A</v>
      </c>
      <c r="AE184" t="e">
        <f t="shared" si="146"/>
        <v>#N/A</v>
      </c>
      <c r="AF184" t="e">
        <f t="shared" si="147"/>
        <v>#N/A</v>
      </c>
      <c r="AG184" t="e">
        <f t="shared" si="116"/>
        <v>#N/A</v>
      </c>
      <c r="AH184" t="e">
        <f t="shared" si="154"/>
        <v>#N/A</v>
      </c>
      <c r="AI184" t="e">
        <f t="shared" si="155"/>
        <v>#N/A</v>
      </c>
      <c r="AJ184" t="e">
        <f ca="1">SUM($AI$117:AI184)</f>
        <v>#N/A</v>
      </c>
      <c r="AK184" t="e">
        <f t="shared" si="114"/>
        <v>#N/A</v>
      </c>
      <c r="AL184" t="e">
        <f ca="1">SUM($AK$117:AK184)</f>
        <v>#N/A</v>
      </c>
      <c r="AM184" s="244" t="e">
        <f t="shared" ca="1" si="136"/>
        <v>#N/A</v>
      </c>
      <c r="AN184" s="248" t="e">
        <f ca="1">SUM($T$117:T184)+SUM($AM$117:AM184)</f>
        <v>#N/A</v>
      </c>
      <c r="AO184" t="e">
        <f t="shared" ca="1" si="117"/>
        <v>#N/A</v>
      </c>
      <c r="AP184" t="e">
        <f ca="1">SUM($AO$117:AO184)</f>
        <v>#N/A</v>
      </c>
      <c r="AQ184" t="e">
        <f t="shared" ca="1" si="156"/>
        <v>#N/A</v>
      </c>
      <c r="AR184" t="e">
        <f t="shared" ca="1" si="148"/>
        <v>#N/A</v>
      </c>
      <c r="AS184" t="e">
        <f t="shared" ca="1" si="121"/>
        <v>#N/A</v>
      </c>
      <c r="AT184" t="e">
        <f t="shared" ca="1" si="122"/>
        <v>#N/A</v>
      </c>
      <c r="AU184" t="e">
        <f t="shared" ca="1" si="157"/>
        <v>#N/A</v>
      </c>
    </row>
    <row r="185" spans="1:47" x14ac:dyDescent="0.25">
      <c r="B185" s="105">
        <f t="shared" si="158"/>
        <v>68</v>
      </c>
      <c r="C185">
        <v>69</v>
      </c>
      <c r="E185" s="78">
        <f t="shared" ref="E185:E196" si="159">IF(D181&lt;0.5,0,IF(D185+X184&lt;0,1,D185+X184))</f>
        <v>0</v>
      </c>
      <c r="F185">
        <f t="shared" si="149"/>
        <v>0</v>
      </c>
      <c r="G185" t="e">
        <f ca="1">SUM($F$117:F185)</f>
        <v>#N/A</v>
      </c>
      <c r="H185" t="e">
        <f t="shared" si="137"/>
        <v>#N/A</v>
      </c>
      <c r="I185" t="e">
        <f t="shared" si="138"/>
        <v>#N/A</v>
      </c>
      <c r="J185" t="e">
        <f ca="1">SUM($I$117:I185)</f>
        <v>#N/A</v>
      </c>
      <c r="K185" t="e">
        <f t="shared" si="139"/>
        <v>#N/A</v>
      </c>
      <c r="L185" t="e">
        <f t="shared" si="140"/>
        <v>#N/A</v>
      </c>
      <c r="M185" s="888">
        <f t="shared" si="150"/>
        <v>0.5</v>
      </c>
      <c r="N185" s="248" t="e">
        <f t="shared" si="151"/>
        <v>#N/A</v>
      </c>
      <c r="O185" s="248" t="e">
        <f t="shared" si="152"/>
        <v>#N/A</v>
      </c>
      <c r="P185" s="248" t="e">
        <f t="shared" si="115"/>
        <v>#N/A</v>
      </c>
      <c r="Q185" s="244" t="e">
        <f ca="1">SUM($P$117:P185)+SUM($V$117:V185)</f>
        <v>#N/A</v>
      </c>
      <c r="R185" s="244" t="e">
        <f t="shared" ca="1" si="118"/>
        <v>#N/A</v>
      </c>
      <c r="S185" s="248" t="e">
        <f ca="1">SUM($R$117:R185)</f>
        <v>#N/A</v>
      </c>
      <c r="T185" s="244" t="e">
        <f t="shared" ca="1" si="119"/>
        <v>#N/A</v>
      </c>
      <c r="U185" s="244" t="e">
        <f ca="1">SUM($T$117:T185)</f>
        <v>#N/A</v>
      </c>
      <c r="V185" t="e">
        <f t="shared" si="153"/>
        <v>#N/A</v>
      </c>
      <c r="W185" s="75" t="e">
        <f ca="1">SUM($V$117:V185)</f>
        <v>#N/A</v>
      </c>
      <c r="X185" s="78" t="e">
        <f t="shared" si="141"/>
        <v>#N/A</v>
      </c>
      <c r="Y185" t="e">
        <f t="shared" si="142"/>
        <v>#N/A</v>
      </c>
      <c r="Z185" t="e">
        <f t="shared" si="143"/>
        <v>#N/A</v>
      </c>
      <c r="AA185" s="75" t="e">
        <f ca="1">SUM($Z$117:Z185)</f>
        <v>#N/A</v>
      </c>
      <c r="AB185" t="e">
        <f t="shared" si="144"/>
        <v>#N/A</v>
      </c>
      <c r="AC185" s="78" t="e">
        <f ca="1">SUM($AB$117:AB185)</f>
        <v>#N/A</v>
      </c>
      <c r="AD185" t="e">
        <f t="shared" si="145"/>
        <v>#N/A</v>
      </c>
      <c r="AE185" t="e">
        <f t="shared" si="146"/>
        <v>#N/A</v>
      </c>
      <c r="AF185" t="e">
        <f t="shared" si="147"/>
        <v>#N/A</v>
      </c>
      <c r="AG185" t="e">
        <f t="shared" si="116"/>
        <v>#N/A</v>
      </c>
      <c r="AH185" t="e">
        <f t="shared" si="154"/>
        <v>#N/A</v>
      </c>
      <c r="AI185" t="e">
        <f t="shared" si="155"/>
        <v>#N/A</v>
      </c>
      <c r="AJ185" t="e">
        <f ca="1">SUM($AI$117:AI185)</f>
        <v>#N/A</v>
      </c>
      <c r="AK185" t="e">
        <f t="shared" si="114"/>
        <v>#N/A</v>
      </c>
      <c r="AL185" t="e">
        <f ca="1">SUM($AK$117:AK185)</f>
        <v>#N/A</v>
      </c>
      <c r="AM185" s="244" t="e">
        <f t="shared" ca="1" si="136"/>
        <v>#N/A</v>
      </c>
      <c r="AN185" s="248" t="e">
        <f ca="1">SUM($T$117:T185)+SUM($AM$117:AM185)</f>
        <v>#N/A</v>
      </c>
      <c r="AO185" t="e">
        <f t="shared" ca="1" si="117"/>
        <v>#N/A</v>
      </c>
      <c r="AP185" t="e">
        <f ca="1">SUM($AO$117:AO185)</f>
        <v>#N/A</v>
      </c>
      <c r="AQ185" t="e">
        <f t="shared" si="156"/>
        <v>#N/A</v>
      </c>
      <c r="AR185" t="e">
        <f t="shared" ca="1" si="148"/>
        <v>#N/A</v>
      </c>
      <c r="AS185" t="e">
        <f t="shared" ca="1" si="121"/>
        <v>#N/A</v>
      </c>
      <c r="AT185" t="e">
        <f t="shared" ca="1" si="122"/>
        <v>#N/A</v>
      </c>
      <c r="AU185" t="e">
        <f t="shared" ca="1" si="157"/>
        <v>#N/A</v>
      </c>
    </row>
    <row r="186" spans="1:47" x14ac:dyDescent="0.25">
      <c r="B186" s="105">
        <f t="shared" si="158"/>
        <v>69</v>
      </c>
      <c r="C186">
        <v>70</v>
      </c>
      <c r="E186" s="78">
        <f t="shared" si="159"/>
        <v>0</v>
      </c>
      <c r="F186">
        <f t="shared" si="149"/>
        <v>0</v>
      </c>
      <c r="G186" t="e">
        <f ca="1">SUM($F$117:F186)</f>
        <v>#N/A</v>
      </c>
      <c r="H186" t="e">
        <f t="shared" si="137"/>
        <v>#N/A</v>
      </c>
      <c r="I186" t="e">
        <f t="shared" si="138"/>
        <v>#N/A</v>
      </c>
      <c r="J186" t="e">
        <f ca="1">SUM($I$117:I186)</f>
        <v>#N/A</v>
      </c>
      <c r="K186" t="e">
        <f t="shared" si="139"/>
        <v>#N/A</v>
      </c>
      <c r="L186" t="e">
        <f t="shared" si="140"/>
        <v>#N/A</v>
      </c>
      <c r="M186" s="888">
        <f t="shared" si="150"/>
        <v>0.5</v>
      </c>
      <c r="N186" s="248" t="e">
        <f t="shared" si="151"/>
        <v>#N/A</v>
      </c>
      <c r="O186" s="248" t="e">
        <f t="shared" si="152"/>
        <v>#N/A</v>
      </c>
      <c r="P186" s="248" t="e">
        <f t="shared" si="115"/>
        <v>#N/A</v>
      </c>
      <c r="Q186" s="244" t="e">
        <f ca="1">SUM($P$117:P186)+SUM($V$117:V186)</f>
        <v>#N/A</v>
      </c>
      <c r="R186" s="244" t="e">
        <f t="shared" ca="1" si="118"/>
        <v>#N/A</v>
      </c>
      <c r="S186" s="248" t="e">
        <f ca="1">SUM($R$117:R186)</f>
        <v>#N/A</v>
      </c>
      <c r="T186" s="244" t="e">
        <f t="shared" ca="1" si="119"/>
        <v>#N/A</v>
      </c>
      <c r="U186" s="244" t="e">
        <f ca="1">SUM($T$117:T186)</f>
        <v>#N/A</v>
      </c>
      <c r="V186" t="e">
        <f t="shared" si="153"/>
        <v>#N/A</v>
      </c>
      <c r="W186" s="75" t="e">
        <f ca="1">SUM($V$117:V186)</f>
        <v>#N/A</v>
      </c>
      <c r="X186" s="78" t="e">
        <f t="shared" si="141"/>
        <v>#N/A</v>
      </c>
      <c r="Y186" t="e">
        <f t="shared" si="142"/>
        <v>#N/A</v>
      </c>
      <c r="Z186" t="e">
        <f t="shared" si="143"/>
        <v>#N/A</v>
      </c>
      <c r="AA186" s="75" t="e">
        <f ca="1">SUM($Z$117:Z186)</f>
        <v>#N/A</v>
      </c>
      <c r="AB186" t="e">
        <f t="shared" si="144"/>
        <v>#N/A</v>
      </c>
      <c r="AC186" s="78" t="e">
        <f ca="1">SUM($AB$117:AB186)</f>
        <v>#N/A</v>
      </c>
      <c r="AD186" t="e">
        <f t="shared" si="145"/>
        <v>#N/A</v>
      </c>
      <c r="AE186" t="e">
        <f t="shared" si="146"/>
        <v>#N/A</v>
      </c>
      <c r="AF186" t="e">
        <f t="shared" si="147"/>
        <v>#N/A</v>
      </c>
      <c r="AG186" t="e">
        <f t="shared" si="116"/>
        <v>#N/A</v>
      </c>
      <c r="AH186" t="e">
        <f t="shared" si="154"/>
        <v>#N/A</v>
      </c>
      <c r="AI186" t="e">
        <f t="shared" si="155"/>
        <v>#N/A</v>
      </c>
      <c r="AJ186" t="e">
        <f ca="1">SUM($AI$117:AI186)</f>
        <v>#N/A</v>
      </c>
      <c r="AK186" t="e">
        <f t="shared" ref="AK186:AK196" si="160">AI186+AD186</f>
        <v>#N/A</v>
      </c>
      <c r="AL186" t="e">
        <f ca="1">SUM($AK$117:AK186)</f>
        <v>#N/A</v>
      </c>
      <c r="AM186" s="244" t="e">
        <f t="shared" ca="1" si="136"/>
        <v>#N/A</v>
      </c>
      <c r="AN186" s="248" t="e">
        <f ca="1">SUM($T$117:T186)+SUM($AM$117:AM186)</f>
        <v>#N/A</v>
      </c>
      <c r="AO186" t="e">
        <f t="shared" ca="1" si="117"/>
        <v>#N/A</v>
      </c>
      <c r="AP186" t="e">
        <f ca="1">SUM($AO$117:AO186)</f>
        <v>#N/A</v>
      </c>
      <c r="AQ186" t="e">
        <f t="shared" si="156"/>
        <v>#N/A</v>
      </c>
      <c r="AR186" t="e">
        <f t="shared" ca="1" si="148"/>
        <v>#N/A</v>
      </c>
      <c r="AS186" t="e">
        <f t="shared" ca="1" si="121"/>
        <v>#N/A</v>
      </c>
      <c r="AT186" t="e">
        <f t="shared" ca="1" si="122"/>
        <v>#N/A</v>
      </c>
      <c r="AU186" t="e">
        <f t="shared" ca="1" si="157"/>
        <v>#N/A</v>
      </c>
    </row>
    <row r="187" spans="1:47" x14ac:dyDescent="0.25">
      <c r="B187" s="105">
        <f t="shared" si="158"/>
        <v>70</v>
      </c>
      <c r="C187">
        <v>71</v>
      </c>
      <c r="E187" s="78">
        <f t="shared" si="159"/>
        <v>0</v>
      </c>
      <c r="F187">
        <f t="shared" si="149"/>
        <v>0</v>
      </c>
      <c r="G187" t="e">
        <f ca="1">SUM($F$117:F187)</f>
        <v>#N/A</v>
      </c>
      <c r="H187" t="e">
        <f t="shared" si="137"/>
        <v>#N/A</v>
      </c>
      <c r="I187" t="e">
        <f t="shared" si="138"/>
        <v>#N/A</v>
      </c>
      <c r="J187" t="e">
        <f ca="1">SUM($I$117:I187)</f>
        <v>#N/A</v>
      </c>
      <c r="K187" t="e">
        <f t="shared" si="139"/>
        <v>#N/A</v>
      </c>
      <c r="L187" t="e">
        <f t="shared" si="140"/>
        <v>#N/A</v>
      </c>
      <c r="M187" s="888">
        <f t="shared" si="150"/>
        <v>0.5</v>
      </c>
      <c r="N187" s="248" t="e">
        <f t="shared" si="151"/>
        <v>#N/A</v>
      </c>
      <c r="O187" s="248" t="e">
        <f t="shared" si="152"/>
        <v>#N/A</v>
      </c>
      <c r="P187" s="248" t="e">
        <f t="shared" ref="P187:P196" si="161">ROUND(N183*$D$14+N184*$D$14+N185*$D$14+N186*$D$14+N187*$D$14,0)</f>
        <v>#N/A</v>
      </c>
      <c r="Q187" s="244" t="e">
        <f ca="1">SUM($P$117:P187)+SUM($V$117:V187)</f>
        <v>#N/A</v>
      </c>
      <c r="R187" s="244" t="e">
        <f t="shared" ca="1" si="118"/>
        <v>#N/A</v>
      </c>
      <c r="S187" s="248" t="e">
        <f ca="1">SUM($R$117:R187)</f>
        <v>#N/A</v>
      </c>
      <c r="T187" s="244" t="e">
        <f t="shared" ca="1" si="119"/>
        <v>#N/A</v>
      </c>
      <c r="U187" s="244" t="e">
        <f ca="1">SUM($T$117:T187)</f>
        <v>#N/A</v>
      </c>
      <c r="V187" t="e">
        <f t="shared" si="153"/>
        <v>#N/A</v>
      </c>
      <c r="W187" s="75" t="e">
        <f ca="1">SUM($V$117:V187)</f>
        <v>#N/A</v>
      </c>
      <c r="X187" s="78" t="e">
        <f t="shared" si="141"/>
        <v>#N/A</v>
      </c>
      <c r="Y187" t="e">
        <f t="shared" si="142"/>
        <v>#N/A</v>
      </c>
      <c r="Z187" t="e">
        <f t="shared" si="143"/>
        <v>#N/A</v>
      </c>
      <c r="AA187" s="75" t="e">
        <f ca="1">SUM($Z$117:Z187)</f>
        <v>#N/A</v>
      </c>
      <c r="AB187" t="e">
        <f t="shared" si="144"/>
        <v>#N/A</v>
      </c>
      <c r="AC187" s="78" t="e">
        <f ca="1">SUM($AB$117:AB187)</f>
        <v>#N/A</v>
      </c>
      <c r="AD187" t="e">
        <f t="shared" si="145"/>
        <v>#N/A</v>
      </c>
      <c r="AE187" t="e">
        <f t="shared" si="146"/>
        <v>#N/A</v>
      </c>
      <c r="AF187" t="e">
        <f t="shared" si="147"/>
        <v>#N/A</v>
      </c>
      <c r="AG187" t="e">
        <f t="shared" ref="AG187:AG196" si="162">AF186*1</f>
        <v>#N/A</v>
      </c>
      <c r="AH187" t="e">
        <f t="shared" si="154"/>
        <v>#N/A</v>
      </c>
      <c r="AI187" t="e">
        <f t="shared" si="155"/>
        <v>#N/A</v>
      </c>
      <c r="AJ187" t="e">
        <f ca="1">SUM($AI$117:AI187)</f>
        <v>#N/A</v>
      </c>
      <c r="AK187" t="e">
        <f t="shared" si="160"/>
        <v>#N/A</v>
      </c>
      <c r="AL187" t="e">
        <f ca="1">SUM($AK$117:AK187)</f>
        <v>#N/A</v>
      </c>
      <c r="AM187" s="244" t="e">
        <f t="shared" ca="1" si="136"/>
        <v>#N/A</v>
      </c>
      <c r="AN187" s="248" t="e">
        <f ca="1">SUM($T$117:T187)+SUM($AM$117:AM187)</f>
        <v>#N/A</v>
      </c>
      <c r="AO187" t="e">
        <f t="shared" ca="1" si="117"/>
        <v>#N/A</v>
      </c>
      <c r="AP187" t="e">
        <f ca="1">SUM($AO$117:AO187)</f>
        <v>#N/A</v>
      </c>
      <c r="AQ187" t="e">
        <f t="shared" si="156"/>
        <v>#N/A</v>
      </c>
      <c r="AR187" t="e">
        <f t="shared" ca="1" si="148"/>
        <v>#N/A</v>
      </c>
      <c r="AS187" t="e">
        <f t="shared" ca="1" si="121"/>
        <v>#N/A</v>
      </c>
      <c r="AT187" t="e">
        <f t="shared" ca="1" si="122"/>
        <v>#N/A</v>
      </c>
      <c r="AU187" t="e">
        <f t="shared" ca="1" si="157"/>
        <v>#N/A</v>
      </c>
    </row>
    <row r="188" spans="1:47" x14ac:dyDescent="0.25">
      <c r="B188" s="105">
        <f t="shared" si="158"/>
        <v>71</v>
      </c>
      <c r="C188">
        <v>72</v>
      </c>
      <c r="E188" s="78">
        <f t="shared" si="159"/>
        <v>0</v>
      </c>
      <c r="F188">
        <f t="shared" si="149"/>
        <v>0</v>
      </c>
      <c r="G188" t="e">
        <f ca="1">SUM($F$117:F188)</f>
        <v>#N/A</v>
      </c>
      <c r="H188" t="e">
        <f t="shared" si="137"/>
        <v>#N/A</v>
      </c>
      <c r="I188" t="e">
        <f t="shared" si="138"/>
        <v>#N/A</v>
      </c>
      <c r="J188" t="e">
        <f ca="1">SUM($I$117:I188)</f>
        <v>#N/A</v>
      </c>
      <c r="K188" t="e">
        <f t="shared" si="139"/>
        <v>#N/A</v>
      </c>
      <c r="L188" t="e">
        <f t="shared" si="140"/>
        <v>#N/A</v>
      </c>
      <c r="M188" s="888">
        <f t="shared" si="150"/>
        <v>0.5</v>
      </c>
      <c r="N188" s="248" t="e">
        <f t="shared" si="151"/>
        <v>#N/A</v>
      </c>
      <c r="O188" s="248" t="e">
        <f t="shared" si="152"/>
        <v>#N/A</v>
      </c>
      <c r="P188" s="248" t="e">
        <f t="shared" si="161"/>
        <v>#N/A</v>
      </c>
      <c r="Q188" s="244" t="e">
        <f ca="1">SUM($P$117:P188)+SUM($V$117:V188)</f>
        <v>#N/A</v>
      </c>
      <c r="R188" s="244" t="e">
        <f t="shared" ca="1" si="118"/>
        <v>#N/A</v>
      </c>
      <c r="S188" s="248" t="e">
        <f ca="1">SUM($R$117:R188)</f>
        <v>#N/A</v>
      </c>
      <c r="T188" s="244" t="e">
        <f t="shared" ca="1" si="119"/>
        <v>#N/A</v>
      </c>
      <c r="U188" s="244" t="e">
        <f ca="1">SUM($T$117:T188)</f>
        <v>#N/A</v>
      </c>
      <c r="V188" t="e">
        <f t="shared" si="153"/>
        <v>#N/A</v>
      </c>
      <c r="W188" s="75" t="e">
        <f ca="1">SUM($V$117:V188)</f>
        <v>#N/A</v>
      </c>
      <c r="X188" s="78" t="e">
        <f t="shared" si="141"/>
        <v>#N/A</v>
      </c>
      <c r="Y188" t="e">
        <f t="shared" si="142"/>
        <v>#N/A</v>
      </c>
      <c r="Z188" t="e">
        <f t="shared" si="143"/>
        <v>#N/A</v>
      </c>
      <c r="AA188" s="75" t="e">
        <f ca="1">SUM($Z$117:Z188)</f>
        <v>#N/A</v>
      </c>
      <c r="AB188" t="e">
        <f t="shared" si="144"/>
        <v>#N/A</v>
      </c>
      <c r="AC188" s="78" t="e">
        <f ca="1">SUM($AB$117:AB188)</f>
        <v>#N/A</v>
      </c>
      <c r="AD188" t="e">
        <f t="shared" si="145"/>
        <v>#N/A</v>
      </c>
      <c r="AE188" t="e">
        <f t="shared" si="146"/>
        <v>#N/A</v>
      </c>
      <c r="AF188" t="e">
        <f t="shared" si="147"/>
        <v>#N/A</v>
      </c>
      <c r="AG188" t="e">
        <f t="shared" si="162"/>
        <v>#N/A</v>
      </c>
      <c r="AH188" t="e">
        <f t="shared" si="154"/>
        <v>#N/A</v>
      </c>
      <c r="AI188" t="e">
        <f t="shared" si="155"/>
        <v>#N/A</v>
      </c>
      <c r="AJ188" t="e">
        <f ca="1">SUM($AI$117:AI188)</f>
        <v>#N/A</v>
      </c>
      <c r="AK188" t="e">
        <f t="shared" si="160"/>
        <v>#N/A</v>
      </c>
      <c r="AL188" t="e">
        <f ca="1">SUM($AK$117:AK188)</f>
        <v>#N/A</v>
      </c>
      <c r="AM188" s="244" t="e">
        <f t="shared" ca="1" si="136"/>
        <v>#N/A</v>
      </c>
      <c r="AN188" s="248" t="e">
        <f ca="1">SUM($T$117:T188)+SUM($AM$117:AM188)</f>
        <v>#N/A</v>
      </c>
      <c r="AO188" t="e">
        <f t="shared" ref="AO188:AO196" ca="1" si="163">SUM(AM188,T188,R188)</f>
        <v>#N/A</v>
      </c>
      <c r="AP188" t="e">
        <f ca="1">SUM($AO$117:AO188)</f>
        <v>#N/A</v>
      </c>
      <c r="AQ188" t="e">
        <f t="shared" si="156"/>
        <v>#N/A</v>
      </c>
      <c r="AR188" t="e">
        <f t="shared" ca="1" si="148"/>
        <v>#N/A</v>
      </c>
      <c r="AS188" t="e">
        <f t="shared" ca="1" si="121"/>
        <v>#N/A</v>
      </c>
      <c r="AT188" t="e">
        <f t="shared" ca="1" si="122"/>
        <v>#N/A</v>
      </c>
      <c r="AU188" t="e">
        <f t="shared" ca="1" si="157"/>
        <v>#N/A</v>
      </c>
    </row>
    <row r="189" spans="1:47" x14ac:dyDescent="0.25">
      <c r="B189" s="105">
        <f t="shared" si="158"/>
        <v>72</v>
      </c>
      <c r="C189">
        <v>73</v>
      </c>
      <c r="E189" s="78">
        <f t="shared" si="159"/>
        <v>0</v>
      </c>
      <c r="F189">
        <f t="shared" si="149"/>
        <v>0</v>
      </c>
      <c r="G189" t="e">
        <f ca="1">SUM($F$117:F189)</f>
        <v>#N/A</v>
      </c>
      <c r="H189" t="e">
        <f t="shared" si="137"/>
        <v>#N/A</v>
      </c>
      <c r="I189" t="e">
        <f t="shared" si="138"/>
        <v>#N/A</v>
      </c>
      <c r="J189" t="e">
        <f ca="1">SUM($I$117:I189)</f>
        <v>#N/A</v>
      </c>
      <c r="K189" t="e">
        <f t="shared" si="139"/>
        <v>#N/A</v>
      </c>
      <c r="L189" t="e">
        <f t="shared" si="140"/>
        <v>#N/A</v>
      </c>
      <c r="M189" s="888">
        <f t="shared" si="150"/>
        <v>0.5</v>
      </c>
      <c r="N189" s="248" t="e">
        <f t="shared" si="151"/>
        <v>#N/A</v>
      </c>
      <c r="O189" s="248" t="e">
        <f t="shared" si="152"/>
        <v>#N/A</v>
      </c>
      <c r="P189" s="248" t="e">
        <f t="shared" si="161"/>
        <v>#N/A</v>
      </c>
      <c r="Q189" s="244" t="e">
        <f ca="1">SUM($P$117:P189)+SUM($V$117:V189)</f>
        <v>#N/A</v>
      </c>
      <c r="R189" s="244" t="e">
        <f t="shared" ca="1" si="118"/>
        <v>#N/A</v>
      </c>
      <c r="S189" s="248" t="e">
        <f ca="1">SUM($R$117:R189)</f>
        <v>#N/A</v>
      </c>
      <c r="T189" s="244" t="e">
        <f t="shared" ca="1" si="119"/>
        <v>#N/A</v>
      </c>
      <c r="U189" s="244" t="e">
        <f ca="1">SUM($T$117:T189)</f>
        <v>#N/A</v>
      </c>
      <c r="V189" t="e">
        <f t="shared" si="153"/>
        <v>#N/A</v>
      </c>
      <c r="W189" s="75" t="e">
        <f ca="1">SUM($V$117:V189)</f>
        <v>#N/A</v>
      </c>
      <c r="X189" s="78" t="e">
        <f t="shared" si="141"/>
        <v>#N/A</v>
      </c>
      <c r="Y189" t="e">
        <f t="shared" si="142"/>
        <v>#N/A</v>
      </c>
      <c r="Z189" t="e">
        <f t="shared" si="143"/>
        <v>#N/A</v>
      </c>
      <c r="AA189" s="75" t="e">
        <f ca="1">SUM($Z$117:Z189)</f>
        <v>#N/A</v>
      </c>
      <c r="AB189" t="e">
        <f t="shared" si="144"/>
        <v>#N/A</v>
      </c>
      <c r="AC189" s="78" t="e">
        <f ca="1">SUM($AB$117:AB189)</f>
        <v>#N/A</v>
      </c>
      <c r="AD189" t="e">
        <f t="shared" si="145"/>
        <v>#N/A</v>
      </c>
      <c r="AE189" t="e">
        <f t="shared" si="146"/>
        <v>#N/A</v>
      </c>
      <c r="AF189" t="e">
        <f t="shared" si="147"/>
        <v>#N/A</v>
      </c>
      <c r="AG189" t="e">
        <f t="shared" si="162"/>
        <v>#N/A</v>
      </c>
      <c r="AH189" t="e">
        <f t="shared" si="154"/>
        <v>#N/A</v>
      </c>
      <c r="AI189" t="e">
        <f t="shared" si="155"/>
        <v>#N/A</v>
      </c>
      <c r="AJ189" t="e">
        <f ca="1">SUM($AI$117:AI189)</f>
        <v>#N/A</v>
      </c>
      <c r="AK189" t="e">
        <f t="shared" si="160"/>
        <v>#N/A</v>
      </c>
      <c r="AL189" t="e">
        <f ca="1">SUM($AK$117:AK189)</f>
        <v>#N/A</v>
      </c>
      <c r="AM189" s="244" t="e">
        <f t="shared" ca="1" si="136"/>
        <v>#N/A</v>
      </c>
      <c r="AN189" s="248" t="e">
        <f ca="1">SUM($T$117:T189)+SUM($AM$117:AM189)</f>
        <v>#N/A</v>
      </c>
      <c r="AO189" t="e">
        <f t="shared" ca="1" si="163"/>
        <v>#N/A</v>
      </c>
      <c r="AP189" t="e">
        <f ca="1">SUM($AO$117:AO189)</f>
        <v>#N/A</v>
      </c>
      <c r="AQ189" t="e">
        <f t="shared" si="156"/>
        <v>#N/A</v>
      </c>
      <c r="AR189" t="e">
        <f t="shared" ca="1" si="148"/>
        <v>#N/A</v>
      </c>
      <c r="AS189" t="e">
        <f t="shared" ca="1" si="121"/>
        <v>#N/A</v>
      </c>
      <c r="AT189" t="e">
        <f t="shared" ca="1" si="122"/>
        <v>#N/A</v>
      </c>
      <c r="AU189" t="e">
        <f t="shared" ca="1" si="157"/>
        <v>#N/A</v>
      </c>
    </row>
    <row r="190" spans="1:47" x14ac:dyDescent="0.25">
      <c r="B190" s="105">
        <f t="shared" si="158"/>
        <v>73</v>
      </c>
      <c r="C190">
        <v>74</v>
      </c>
      <c r="E190" s="78">
        <f t="shared" si="159"/>
        <v>0</v>
      </c>
      <c r="F190">
        <f t="shared" si="149"/>
        <v>0</v>
      </c>
      <c r="G190" t="e">
        <f ca="1">SUM($F$117:F190)</f>
        <v>#N/A</v>
      </c>
      <c r="H190" t="e">
        <f t="shared" si="137"/>
        <v>#N/A</v>
      </c>
      <c r="I190" t="e">
        <f t="shared" si="138"/>
        <v>#N/A</v>
      </c>
      <c r="J190" t="e">
        <f ca="1">SUM($I$117:I190)</f>
        <v>#N/A</v>
      </c>
      <c r="K190" t="e">
        <f t="shared" si="139"/>
        <v>#N/A</v>
      </c>
      <c r="L190" t="e">
        <f t="shared" si="140"/>
        <v>#N/A</v>
      </c>
      <c r="M190" s="888">
        <f t="shared" si="150"/>
        <v>0.5</v>
      </c>
      <c r="N190" s="248" t="e">
        <f t="shared" si="151"/>
        <v>#N/A</v>
      </c>
      <c r="O190" s="248" t="e">
        <f t="shared" si="152"/>
        <v>#N/A</v>
      </c>
      <c r="P190" s="248" t="e">
        <f t="shared" si="161"/>
        <v>#N/A</v>
      </c>
      <c r="Q190" s="244" t="e">
        <f ca="1">SUM($P$117:P190)+SUM($V$117:V190)</f>
        <v>#N/A</v>
      </c>
      <c r="R190" s="244" t="e">
        <f t="shared" ca="1" si="118"/>
        <v>#N/A</v>
      </c>
      <c r="S190" s="248" t="e">
        <f ca="1">SUM($R$117:R190)</f>
        <v>#N/A</v>
      </c>
      <c r="T190" s="244" t="e">
        <f t="shared" ca="1" si="119"/>
        <v>#N/A</v>
      </c>
      <c r="U190" s="244" t="e">
        <f ca="1">SUM($T$117:T190)</f>
        <v>#N/A</v>
      </c>
      <c r="V190" t="e">
        <f t="shared" si="153"/>
        <v>#N/A</v>
      </c>
      <c r="W190" s="75" t="e">
        <f ca="1">SUM($V$117:V190)</f>
        <v>#N/A</v>
      </c>
      <c r="X190" s="78" t="e">
        <f t="shared" si="141"/>
        <v>#N/A</v>
      </c>
      <c r="Y190" t="e">
        <f t="shared" si="142"/>
        <v>#N/A</v>
      </c>
      <c r="Z190" t="e">
        <f t="shared" si="143"/>
        <v>#N/A</v>
      </c>
      <c r="AA190" s="75" t="e">
        <f ca="1">SUM($Z$117:Z190)</f>
        <v>#N/A</v>
      </c>
      <c r="AB190" t="e">
        <f t="shared" si="144"/>
        <v>#N/A</v>
      </c>
      <c r="AC190" s="78" t="e">
        <f ca="1">SUM($AB$117:AB190)</f>
        <v>#N/A</v>
      </c>
      <c r="AD190" t="e">
        <f t="shared" si="145"/>
        <v>#N/A</v>
      </c>
      <c r="AE190" t="e">
        <f t="shared" si="146"/>
        <v>#N/A</v>
      </c>
      <c r="AF190" t="e">
        <f t="shared" si="147"/>
        <v>#N/A</v>
      </c>
      <c r="AG190" t="e">
        <f t="shared" si="162"/>
        <v>#N/A</v>
      </c>
      <c r="AH190" t="e">
        <f t="shared" si="154"/>
        <v>#N/A</v>
      </c>
      <c r="AI190" t="e">
        <f t="shared" si="155"/>
        <v>#N/A</v>
      </c>
      <c r="AJ190" t="e">
        <f ca="1">SUM($AI$117:AI190)</f>
        <v>#N/A</v>
      </c>
      <c r="AK190" t="e">
        <f t="shared" si="160"/>
        <v>#N/A</v>
      </c>
      <c r="AL190" t="e">
        <f ca="1">SUM($AK$117:AK190)</f>
        <v>#N/A</v>
      </c>
      <c r="AM190" s="244" t="e">
        <f t="shared" ca="1" si="136"/>
        <v>#N/A</v>
      </c>
      <c r="AN190" s="248" t="e">
        <f ca="1">SUM($T$117:T190)+SUM($AM$117:AM190)</f>
        <v>#N/A</v>
      </c>
      <c r="AO190" t="e">
        <f t="shared" ca="1" si="163"/>
        <v>#N/A</v>
      </c>
      <c r="AP190" t="e">
        <f ca="1">SUM($AO$117:AO190)</f>
        <v>#N/A</v>
      </c>
      <c r="AQ190" t="e">
        <f t="shared" si="156"/>
        <v>#N/A</v>
      </c>
      <c r="AR190" t="e">
        <f t="shared" ca="1" si="148"/>
        <v>#N/A</v>
      </c>
      <c r="AS190" t="e">
        <f t="shared" ca="1" si="121"/>
        <v>#N/A</v>
      </c>
      <c r="AT190" t="e">
        <f t="shared" ca="1" si="122"/>
        <v>#N/A</v>
      </c>
      <c r="AU190" t="e">
        <f t="shared" ca="1" si="157"/>
        <v>#N/A</v>
      </c>
    </row>
    <row r="191" spans="1:47" x14ac:dyDescent="0.25">
      <c r="B191" s="105">
        <f t="shared" si="158"/>
        <v>74</v>
      </c>
      <c r="C191">
        <v>75</v>
      </c>
      <c r="E191" s="78">
        <f t="shared" si="159"/>
        <v>0</v>
      </c>
      <c r="F191">
        <f t="shared" si="149"/>
        <v>0</v>
      </c>
      <c r="G191" t="e">
        <f ca="1">SUM($F$117:F191)</f>
        <v>#N/A</v>
      </c>
      <c r="H191" t="e">
        <f t="shared" si="137"/>
        <v>#N/A</v>
      </c>
      <c r="I191" t="e">
        <f t="shared" si="138"/>
        <v>#N/A</v>
      </c>
      <c r="J191" t="e">
        <f ca="1">SUM($I$117:I191)</f>
        <v>#N/A</v>
      </c>
      <c r="K191" t="e">
        <f t="shared" si="139"/>
        <v>#N/A</v>
      </c>
      <c r="L191" t="e">
        <f t="shared" si="140"/>
        <v>#N/A</v>
      </c>
      <c r="M191" s="888">
        <f t="shared" si="150"/>
        <v>0.5</v>
      </c>
      <c r="N191" s="248" t="e">
        <f t="shared" si="151"/>
        <v>#N/A</v>
      </c>
      <c r="O191" s="248" t="e">
        <f t="shared" si="152"/>
        <v>#N/A</v>
      </c>
      <c r="P191" s="248" t="e">
        <f t="shared" si="161"/>
        <v>#N/A</v>
      </c>
      <c r="Q191" s="244" t="e">
        <f ca="1">SUM($P$117:P191)+SUM($V$117:V191)</f>
        <v>#N/A</v>
      </c>
      <c r="R191" s="244" t="e">
        <f t="shared" ca="1" si="118"/>
        <v>#N/A</v>
      </c>
      <c r="S191" s="248" t="e">
        <f ca="1">SUM($R$117:R191)</f>
        <v>#N/A</v>
      </c>
      <c r="T191" s="244" t="e">
        <f t="shared" ca="1" si="119"/>
        <v>#N/A</v>
      </c>
      <c r="U191" s="244" t="e">
        <f ca="1">SUM($T$117:T191)</f>
        <v>#N/A</v>
      </c>
      <c r="V191" t="e">
        <f t="shared" si="153"/>
        <v>#N/A</v>
      </c>
      <c r="W191" s="75" t="e">
        <f ca="1">SUM($V$117:V191)</f>
        <v>#N/A</v>
      </c>
      <c r="X191" s="78" t="e">
        <f t="shared" si="141"/>
        <v>#N/A</v>
      </c>
      <c r="Y191" t="e">
        <f t="shared" si="142"/>
        <v>#N/A</v>
      </c>
      <c r="Z191" t="e">
        <f t="shared" si="143"/>
        <v>#N/A</v>
      </c>
      <c r="AA191" s="75" t="e">
        <f ca="1">SUM($Z$117:Z191)</f>
        <v>#N/A</v>
      </c>
      <c r="AB191" t="e">
        <f t="shared" si="144"/>
        <v>#N/A</v>
      </c>
      <c r="AC191" s="78" t="e">
        <f ca="1">SUM($AB$117:AB191)</f>
        <v>#N/A</v>
      </c>
      <c r="AD191" t="e">
        <f t="shared" si="145"/>
        <v>#N/A</v>
      </c>
      <c r="AE191" t="e">
        <f t="shared" si="146"/>
        <v>#N/A</v>
      </c>
      <c r="AF191" t="e">
        <f t="shared" si="147"/>
        <v>#N/A</v>
      </c>
      <c r="AG191" t="e">
        <f t="shared" si="162"/>
        <v>#N/A</v>
      </c>
      <c r="AH191" t="e">
        <f t="shared" si="154"/>
        <v>#N/A</v>
      </c>
      <c r="AI191" t="e">
        <f t="shared" si="155"/>
        <v>#N/A</v>
      </c>
      <c r="AJ191" t="e">
        <f ca="1">SUM($AI$117:AI191)</f>
        <v>#N/A</v>
      </c>
      <c r="AK191" t="e">
        <f t="shared" si="160"/>
        <v>#N/A</v>
      </c>
      <c r="AL191" t="e">
        <f ca="1">SUM($AK$117:AK191)</f>
        <v>#N/A</v>
      </c>
      <c r="AM191" s="244" t="e">
        <f t="shared" ca="1" si="136"/>
        <v>#N/A</v>
      </c>
      <c r="AN191" s="248" t="e">
        <f ca="1">SUM($T$117:T191)+SUM($AM$117:AM191)</f>
        <v>#N/A</v>
      </c>
      <c r="AO191" t="e">
        <f t="shared" ca="1" si="163"/>
        <v>#N/A</v>
      </c>
      <c r="AP191" t="e">
        <f ca="1">SUM($AO$117:AO191)</f>
        <v>#N/A</v>
      </c>
      <c r="AQ191" t="e">
        <f t="shared" si="156"/>
        <v>#N/A</v>
      </c>
      <c r="AR191" t="e">
        <f t="shared" ca="1" si="148"/>
        <v>#N/A</v>
      </c>
      <c r="AS191" t="e">
        <f t="shared" ca="1" si="121"/>
        <v>#N/A</v>
      </c>
      <c r="AT191" t="e">
        <f t="shared" ca="1" si="122"/>
        <v>#N/A</v>
      </c>
      <c r="AU191" t="e">
        <f t="shared" ca="1" si="157"/>
        <v>#N/A</v>
      </c>
    </row>
    <row r="192" spans="1:47" x14ac:dyDescent="0.25">
      <c r="B192" s="105">
        <f t="shared" si="158"/>
        <v>75</v>
      </c>
      <c r="C192">
        <v>76</v>
      </c>
      <c r="E192" s="78">
        <f t="shared" si="159"/>
        <v>0</v>
      </c>
      <c r="F192">
        <f t="shared" si="149"/>
        <v>0</v>
      </c>
      <c r="G192" t="e">
        <f ca="1">SUM($F$117:F192)</f>
        <v>#N/A</v>
      </c>
      <c r="H192" t="e">
        <f t="shared" si="137"/>
        <v>#N/A</v>
      </c>
      <c r="I192" t="e">
        <f t="shared" si="138"/>
        <v>#N/A</v>
      </c>
      <c r="J192" t="e">
        <f ca="1">SUM($I$117:I192)</f>
        <v>#N/A</v>
      </c>
      <c r="K192" t="e">
        <f t="shared" si="139"/>
        <v>#N/A</v>
      </c>
      <c r="L192" t="e">
        <f t="shared" si="140"/>
        <v>#N/A</v>
      </c>
      <c r="M192" s="888">
        <f t="shared" si="150"/>
        <v>0.5</v>
      </c>
      <c r="N192" s="248" t="e">
        <f t="shared" si="151"/>
        <v>#N/A</v>
      </c>
      <c r="O192" s="248" t="e">
        <f t="shared" si="152"/>
        <v>#N/A</v>
      </c>
      <c r="P192" s="248" t="e">
        <f t="shared" si="161"/>
        <v>#N/A</v>
      </c>
      <c r="Q192" s="244" t="e">
        <f ca="1">SUM($P$117:P192)+SUM($V$117:V192)</f>
        <v>#N/A</v>
      </c>
      <c r="R192" s="244" t="e">
        <f t="shared" ca="1" si="118"/>
        <v>#N/A</v>
      </c>
      <c r="S192" s="248" t="e">
        <f ca="1">SUM($R$117:R192)</f>
        <v>#N/A</v>
      </c>
      <c r="T192" s="244" t="e">
        <f t="shared" ca="1" si="119"/>
        <v>#N/A</v>
      </c>
      <c r="U192" s="244" t="e">
        <f ca="1">SUM($T$117:T192)</f>
        <v>#N/A</v>
      </c>
      <c r="V192" t="e">
        <f t="shared" si="153"/>
        <v>#N/A</v>
      </c>
      <c r="W192" s="75" t="e">
        <f ca="1">SUM($V$117:V192)</f>
        <v>#N/A</v>
      </c>
      <c r="X192" s="78" t="e">
        <f t="shared" si="141"/>
        <v>#N/A</v>
      </c>
      <c r="Y192" t="e">
        <f t="shared" si="142"/>
        <v>#N/A</v>
      </c>
      <c r="Z192" t="e">
        <f t="shared" si="143"/>
        <v>#N/A</v>
      </c>
      <c r="AA192" s="75" t="e">
        <f ca="1">SUM($Z$117:Z192)</f>
        <v>#N/A</v>
      </c>
      <c r="AB192" t="e">
        <f t="shared" si="144"/>
        <v>#N/A</v>
      </c>
      <c r="AC192" s="78" t="e">
        <f ca="1">SUM($AB$117:AB192)</f>
        <v>#N/A</v>
      </c>
      <c r="AD192" t="e">
        <f t="shared" si="145"/>
        <v>#N/A</v>
      </c>
      <c r="AE192" t="e">
        <f t="shared" si="146"/>
        <v>#N/A</v>
      </c>
      <c r="AF192" t="e">
        <f t="shared" si="147"/>
        <v>#N/A</v>
      </c>
      <c r="AG192" t="e">
        <f t="shared" si="162"/>
        <v>#N/A</v>
      </c>
      <c r="AH192" t="e">
        <f t="shared" si="154"/>
        <v>#N/A</v>
      </c>
      <c r="AI192" t="e">
        <f t="shared" si="155"/>
        <v>#N/A</v>
      </c>
      <c r="AJ192" t="e">
        <f ca="1">SUM($AI$117:AI192)</f>
        <v>#N/A</v>
      </c>
      <c r="AK192" t="e">
        <f t="shared" si="160"/>
        <v>#N/A</v>
      </c>
      <c r="AL192" t="e">
        <f ca="1">SUM($AK$117:AK192)</f>
        <v>#N/A</v>
      </c>
      <c r="AM192" s="244" t="e">
        <f t="shared" ca="1" si="136"/>
        <v>#N/A</v>
      </c>
      <c r="AN192" s="248" t="e">
        <f ca="1">SUM($T$117:T192)+SUM($AM$117:AM192)</f>
        <v>#N/A</v>
      </c>
      <c r="AO192" t="e">
        <f t="shared" ca="1" si="163"/>
        <v>#N/A</v>
      </c>
      <c r="AP192" t="e">
        <f ca="1">SUM($AO$117:AO192)</f>
        <v>#N/A</v>
      </c>
      <c r="AQ192" t="e">
        <f t="shared" si="156"/>
        <v>#N/A</v>
      </c>
      <c r="AR192" t="e">
        <f t="shared" ca="1" si="148"/>
        <v>#N/A</v>
      </c>
      <c r="AS192" t="e">
        <f t="shared" ca="1" si="121"/>
        <v>#N/A</v>
      </c>
      <c r="AT192" t="e">
        <f t="shared" ca="1" si="122"/>
        <v>#N/A</v>
      </c>
      <c r="AU192" t="e">
        <f t="shared" ca="1" si="157"/>
        <v>#N/A</v>
      </c>
    </row>
    <row r="193" spans="2:47" x14ac:dyDescent="0.25">
      <c r="B193" s="105">
        <f t="shared" si="158"/>
        <v>76</v>
      </c>
      <c r="C193">
        <v>77</v>
      </c>
      <c r="E193" s="78">
        <f t="shared" si="159"/>
        <v>0</v>
      </c>
      <c r="F193">
        <f t="shared" si="149"/>
        <v>0</v>
      </c>
      <c r="G193" t="e">
        <f ca="1">SUM($F$117:F193)</f>
        <v>#N/A</v>
      </c>
      <c r="H193" t="e">
        <f t="shared" si="137"/>
        <v>#N/A</v>
      </c>
      <c r="I193" t="e">
        <f t="shared" si="138"/>
        <v>#N/A</v>
      </c>
      <c r="J193" t="e">
        <f ca="1">SUM($I$117:I193)</f>
        <v>#N/A</v>
      </c>
      <c r="K193" t="e">
        <f t="shared" si="139"/>
        <v>#N/A</v>
      </c>
      <c r="L193" t="e">
        <f t="shared" si="140"/>
        <v>#N/A</v>
      </c>
      <c r="M193" s="888">
        <f t="shared" si="150"/>
        <v>0.5</v>
      </c>
      <c r="N193" s="248" t="e">
        <f t="shared" si="151"/>
        <v>#N/A</v>
      </c>
      <c r="O193" s="248" t="e">
        <f t="shared" si="152"/>
        <v>#N/A</v>
      </c>
      <c r="P193" s="248" t="e">
        <f t="shared" si="161"/>
        <v>#N/A</v>
      </c>
      <c r="Q193" s="244" t="e">
        <f ca="1">SUM($P$117:P193)+SUM($V$117:V193)</f>
        <v>#N/A</v>
      </c>
      <c r="R193" s="244" t="e">
        <f t="shared" ca="1" si="118"/>
        <v>#N/A</v>
      </c>
      <c r="S193" s="248" t="e">
        <f ca="1">SUM($R$117:R193)</f>
        <v>#N/A</v>
      </c>
      <c r="T193" s="244" t="e">
        <f t="shared" ca="1" si="119"/>
        <v>#N/A</v>
      </c>
      <c r="U193" s="244" t="e">
        <f ca="1">SUM($T$117:T193)</f>
        <v>#N/A</v>
      </c>
      <c r="V193" t="e">
        <f t="shared" si="153"/>
        <v>#N/A</v>
      </c>
      <c r="W193" s="75" t="e">
        <f ca="1">SUM($V$117:V193)</f>
        <v>#N/A</v>
      </c>
      <c r="X193" s="78" t="e">
        <f t="shared" si="141"/>
        <v>#N/A</v>
      </c>
      <c r="Y193" t="e">
        <f t="shared" si="142"/>
        <v>#N/A</v>
      </c>
      <c r="Z193" t="e">
        <f t="shared" si="143"/>
        <v>#N/A</v>
      </c>
      <c r="AA193" s="75" t="e">
        <f ca="1">SUM($Z$117:Z193)</f>
        <v>#N/A</v>
      </c>
      <c r="AB193" t="e">
        <f t="shared" si="144"/>
        <v>#N/A</v>
      </c>
      <c r="AC193" s="78" t="e">
        <f ca="1">SUM($AB$117:AB193)</f>
        <v>#N/A</v>
      </c>
      <c r="AD193" t="e">
        <f t="shared" si="145"/>
        <v>#N/A</v>
      </c>
      <c r="AE193" t="e">
        <f t="shared" si="146"/>
        <v>#N/A</v>
      </c>
      <c r="AF193" t="e">
        <f t="shared" si="147"/>
        <v>#N/A</v>
      </c>
      <c r="AG193" t="e">
        <f t="shared" si="162"/>
        <v>#N/A</v>
      </c>
      <c r="AH193" t="e">
        <f t="shared" si="154"/>
        <v>#N/A</v>
      </c>
      <c r="AI193" t="e">
        <f t="shared" si="155"/>
        <v>#N/A</v>
      </c>
      <c r="AJ193" t="e">
        <f ca="1">SUM($AI$117:AI193)</f>
        <v>#N/A</v>
      </c>
      <c r="AK193" t="e">
        <f t="shared" si="160"/>
        <v>#N/A</v>
      </c>
      <c r="AL193" t="e">
        <f ca="1">SUM($AK$117:AK193)</f>
        <v>#N/A</v>
      </c>
      <c r="AM193" s="244" t="e">
        <f t="shared" ca="1" si="136"/>
        <v>#N/A</v>
      </c>
      <c r="AN193" s="248" t="e">
        <f ca="1">SUM($T$117:T193)+SUM($AM$117:AM193)</f>
        <v>#N/A</v>
      </c>
      <c r="AO193" t="e">
        <f t="shared" ca="1" si="163"/>
        <v>#N/A</v>
      </c>
      <c r="AP193" t="e">
        <f ca="1">SUM($AO$117:AO193)</f>
        <v>#N/A</v>
      </c>
      <c r="AQ193" t="e">
        <f t="shared" si="156"/>
        <v>#N/A</v>
      </c>
      <c r="AR193" t="e">
        <f t="shared" ca="1" si="148"/>
        <v>#N/A</v>
      </c>
      <c r="AS193" t="e">
        <f t="shared" ca="1" si="121"/>
        <v>#N/A</v>
      </c>
      <c r="AT193" t="e">
        <f t="shared" ca="1" si="122"/>
        <v>#N/A</v>
      </c>
      <c r="AU193" t="e">
        <f t="shared" ca="1" si="157"/>
        <v>#N/A</v>
      </c>
    </row>
    <row r="194" spans="2:47" x14ac:dyDescent="0.25">
      <c r="B194" s="105">
        <f t="shared" si="158"/>
        <v>77</v>
      </c>
      <c r="C194">
        <v>78</v>
      </c>
      <c r="E194" s="78">
        <f t="shared" si="159"/>
        <v>0</v>
      </c>
      <c r="F194">
        <f t="shared" si="149"/>
        <v>0</v>
      </c>
      <c r="G194" t="e">
        <f ca="1">SUM($F$117:F194)</f>
        <v>#N/A</v>
      </c>
      <c r="H194" t="e">
        <f t="shared" si="137"/>
        <v>#N/A</v>
      </c>
      <c r="I194" t="e">
        <f t="shared" si="138"/>
        <v>#N/A</v>
      </c>
      <c r="J194" t="e">
        <f ca="1">SUM($I$117:I194)</f>
        <v>#N/A</v>
      </c>
      <c r="K194" t="e">
        <f t="shared" si="139"/>
        <v>#N/A</v>
      </c>
      <c r="L194" t="e">
        <f t="shared" si="140"/>
        <v>#N/A</v>
      </c>
      <c r="M194" s="888">
        <f t="shared" si="150"/>
        <v>0.5</v>
      </c>
      <c r="N194" s="248" t="e">
        <f t="shared" si="151"/>
        <v>#N/A</v>
      </c>
      <c r="O194" s="248" t="e">
        <f t="shared" si="152"/>
        <v>#N/A</v>
      </c>
      <c r="P194" s="248" t="e">
        <f t="shared" si="161"/>
        <v>#N/A</v>
      </c>
      <c r="Q194" s="244" t="e">
        <f ca="1">SUM($P$117:P194)+SUM($V$117:V194)</f>
        <v>#N/A</v>
      </c>
      <c r="R194" s="244" t="e">
        <f t="shared" ca="1" si="118"/>
        <v>#N/A</v>
      </c>
      <c r="S194" s="248" t="e">
        <f ca="1">SUM($R$117:R194)</f>
        <v>#N/A</v>
      </c>
      <c r="T194" s="244" t="e">
        <f t="shared" ca="1" si="119"/>
        <v>#N/A</v>
      </c>
      <c r="U194" s="244" t="e">
        <f ca="1">SUM($T$117:T194)</f>
        <v>#N/A</v>
      </c>
      <c r="V194" t="e">
        <f t="shared" si="153"/>
        <v>#N/A</v>
      </c>
      <c r="W194" s="75" t="e">
        <f ca="1">SUM($V$117:V194)</f>
        <v>#N/A</v>
      </c>
      <c r="X194" s="78" t="e">
        <f t="shared" si="141"/>
        <v>#N/A</v>
      </c>
      <c r="Y194" t="e">
        <f t="shared" si="142"/>
        <v>#N/A</v>
      </c>
      <c r="Z194" t="e">
        <f t="shared" si="143"/>
        <v>#N/A</v>
      </c>
      <c r="AA194" s="75" t="e">
        <f ca="1">SUM($Z$117:Z194)</f>
        <v>#N/A</v>
      </c>
      <c r="AB194" t="e">
        <f t="shared" si="144"/>
        <v>#N/A</v>
      </c>
      <c r="AC194" s="78" t="e">
        <f ca="1">SUM($AB$117:AB194)</f>
        <v>#N/A</v>
      </c>
      <c r="AD194" t="e">
        <f t="shared" si="145"/>
        <v>#N/A</v>
      </c>
      <c r="AE194" t="e">
        <f t="shared" si="146"/>
        <v>#N/A</v>
      </c>
      <c r="AF194" t="e">
        <f t="shared" si="147"/>
        <v>#N/A</v>
      </c>
      <c r="AG194" t="e">
        <f t="shared" si="162"/>
        <v>#N/A</v>
      </c>
      <c r="AH194" t="e">
        <f t="shared" si="154"/>
        <v>#N/A</v>
      </c>
      <c r="AI194" t="e">
        <f t="shared" si="155"/>
        <v>#N/A</v>
      </c>
      <c r="AJ194" t="e">
        <f ca="1">SUM($AI$117:AI194)</f>
        <v>#N/A</v>
      </c>
      <c r="AK194" t="e">
        <f t="shared" si="160"/>
        <v>#N/A</v>
      </c>
      <c r="AL194" t="e">
        <f ca="1">SUM($AK$117:AK194)</f>
        <v>#N/A</v>
      </c>
      <c r="AM194" s="244" t="e">
        <f t="shared" ca="1" si="136"/>
        <v>#N/A</v>
      </c>
      <c r="AN194" s="248" t="e">
        <f ca="1">SUM($T$117:T194)+SUM($AM$117:AM194)</f>
        <v>#N/A</v>
      </c>
      <c r="AO194" t="e">
        <f t="shared" ca="1" si="163"/>
        <v>#N/A</v>
      </c>
      <c r="AP194" t="e">
        <f ca="1">SUM($AO$117:AO194)</f>
        <v>#N/A</v>
      </c>
      <c r="AQ194" t="e">
        <f t="shared" si="156"/>
        <v>#N/A</v>
      </c>
      <c r="AR194" t="e">
        <f t="shared" ca="1" si="148"/>
        <v>#N/A</v>
      </c>
      <c r="AS194" t="e">
        <f t="shared" ca="1" si="121"/>
        <v>#N/A</v>
      </c>
      <c r="AT194" t="e">
        <f t="shared" ca="1" si="122"/>
        <v>#N/A</v>
      </c>
      <c r="AU194" t="e">
        <f t="shared" ca="1" si="157"/>
        <v>#N/A</v>
      </c>
    </row>
    <row r="195" spans="2:47" x14ac:dyDescent="0.25">
      <c r="B195" s="105">
        <f t="shared" si="158"/>
        <v>78</v>
      </c>
      <c r="C195">
        <v>79</v>
      </c>
      <c r="E195" s="78">
        <f t="shared" si="159"/>
        <v>0</v>
      </c>
      <c r="F195">
        <f t="shared" si="149"/>
        <v>0</v>
      </c>
      <c r="G195" t="e">
        <f ca="1">SUM($F$117:F195)</f>
        <v>#N/A</v>
      </c>
      <c r="H195" t="e">
        <f t="shared" si="137"/>
        <v>#N/A</v>
      </c>
      <c r="I195" t="e">
        <f t="shared" si="138"/>
        <v>#N/A</v>
      </c>
      <c r="J195" t="e">
        <f ca="1">SUM($I$117:I195)</f>
        <v>#N/A</v>
      </c>
      <c r="K195" t="e">
        <f t="shared" si="139"/>
        <v>#N/A</v>
      </c>
      <c r="L195" t="e">
        <f t="shared" si="140"/>
        <v>#N/A</v>
      </c>
      <c r="M195" s="888">
        <f t="shared" si="150"/>
        <v>0.5</v>
      </c>
      <c r="N195" s="248" t="e">
        <f t="shared" si="151"/>
        <v>#N/A</v>
      </c>
      <c r="O195" s="248" t="e">
        <f t="shared" si="152"/>
        <v>#N/A</v>
      </c>
      <c r="P195" s="248" t="e">
        <f t="shared" si="161"/>
        <v>#N/A</v>
      </c>
      <c r="Q195" s="244" t="e">
        <f ca="1">SUM($P$117:P195)+SUM($V$117:V195)</f>
        <v>#N/A</v>
      </c>
      <c r="R195" s="244" t="e">
        <f t="shared" ca="1" si="118"/>
        <v>#N/A</v>
      </c>
      <c r="S195" s="248" t="e">
        <f ca="1">SUM($R$117:R195)</f>
        <v>#N/A</v>
      </c>
      <c r="T195" s="244" t="e">
        <f t="shared" ca="1" si="119"/>
        <v>#N/A</v>
      </c>
      <c r="U195" s="244" t="e">
        <f ca="1">SUM($T$117:T195)</f>
        <v>#N/A</v>
      </c>
      <c r="V195" t="e">
        <f t="shared" si="153"/>
        <v>#N/A</v>
      </c>
      <c r="W195" s="75" t="e">
        <f ca="1">SUM($V$117:V195)</f>
        <v>#N/A</v>
      </c>
      <c r="X195" s="78" t="e">
        <f t="shared" si="141"/>
        <v>#N/A</v>
      </c>
      <c r="Y195" t="e">
        <f t="shared" si="142"/>
        <v>#N/A</v>
      </c>
      <c r="Z195" t="e">
        <f t="shared" si="143"/>
        <v>#N/A</v>
      </c>
      <c r="AA195" s="75" t="e">
        <f ca="1">SUM($Z$117:Z195)</f>
        <v>#N/A</v>
      </c>
      <c r="AB195" t="e">
        <f t="shared" si="144"/>
        <v>#N/A</v>
      </c>
      <c r="AC195" s="78" t="e">
        <f ca="1">SUM($AB$117:AB195)</f>
        <v>#N/A</v>
      </c>
      <c r="AD195" t="e">
        <f t="shared" si="145"/>
        <v>#N/A</v>
      </c>
      <c r="AE195" t="e">
        <f t="shared" si="146"/>
        <v>#N/A</v>
      </c>
      <c r="AF195" t="e">
        <f t="shared" si="147"/>
        <v>#N/A</v>
      </c>
      <c r="AG195" t="e">
        <f t="shared" si="162"/>
        <v>#N/A</v>
      </c>
      <c r="AH195" t="e">
        <f t="shared" si="154"/>
        <v>#N/A</v>
      </c>
      <c r="AI195" t="e">
        <f t="shared" si="155"/>
        <v>#N/A</v>
      </c>
      <c r="AJ195" t="e">
        <f ca="1">SUM($AI$117:AI195)</f>
        <v>#N/A</v>
      </c>
      <c r="AK195" t="e">
        <f t="shared" si="160"/>
        <v>#N/A</v>
      </c>
      <c r="AL195" t="e">
        <f ca="1">SUM($AK$117:AK195)</f>
        <v>#N/A</v>
      </c>
      <c r="AM195" s="244" t="e">
        <f t="shared" ca="1" si="136"/>
        <v>#N/A</v>
      </c>
      <c r="AN195" s="248" t="e">
        <f ca="1">SUM($T$117:T195)+SUM($AM$117:AM195)</f>
        <v>#N/A</v>
      </c>
      <c r="AO195" t="e">
        <f t="shared" ca="1" si="163"/>
        <v>#N/A</v>
      </c>
      <c r="AP195" t="e">
        <f ca="1">SUM($AO$117:AO195)</f>
        <v>#N/A</v>
      </c>
      <c r="AQ195" t="e">
        <f t="shared" si="156"/>
        <v>#N/A</v>
      </c>
      <c r="AR195" t="e">
        <f t="shared" ca="1" si="148"/>
        <v>#N/A</v>
      </c>
      <c r="AS195" t="e">
        <f t="shared" ca="1" si="121"/>
        <v>#N/A</v>
      </c>
      <c r="AT195" t="e">
        <f t="shared" ca="1" si="122"/>
        <v>#N/A</v>
      </c>
      <c r="AU195" t="e">
        <f t="shared" ca="1" si="157"/>
        <v>#N/A</v>
      </c>
    </row>
    <row r="196" spans="2:47" x14ac:dyDescent="0.25">
      <c r="B196" s="105">
        <f t="shared" si="158"/>
        <v>79</v>
      </c>
      <c r="C196">
        <v>80</v>
      </c>
      <c r="E196" s="78">
        <f t="shared" si="159"/>
        <v>0</v>
      </c>
      <c r="F196">
        <f t="shared" si="149"/>
        <v>0</v>
      </c>
      <c r="G196" t="e">
        <f ca="1">SUM($F$117:F196)</f>
        <v>#N/A</v>
      </c>
      <c r="H196" t="e">
        <f t="shared" si="137"/>
        <v>#N/A</v>
      </c>
      <c r="I196" t="e">
        <f t="shared" si="138"/>
        <v>#N/A</v>
      </c>
      <c r="J196" t="e">
        <f ca="1">SUM($I$117:I196)</f>
        <v>#N/A</v>
      </c>
      <c r="K196" t="e">
        <f t="shared" si="139"/>
        <v>#N/A</v>
      </c>
      <c r="L196" t="e">
        <f t="shared" si="140"/>
        <v>#N/A</v>
      </c>
      <c r="M196" s="888">
        <f t="shared" si="150"/>
        <v>0.5</v>
      </c>
      <c r="N196" s="248" t="e">
        <f t="shared" si="151"/>
        <v>#N/A</v>
      </c>
      <c r="O196" s="248" t="e">
        <f t="shared" si="152"/>
        <v>#N/A</v>
      </c>
      <c r="P196" s="248" t="e">
        <f t="shared" si="161"/>
        <v>#N/A</v>
      </c>
      <c r="Q196" s="244" t="e">
        <f ca="1">SUM($P$117:P196)+SUM($V$117:V196)</f>
        <v>#N/A</v>
      </c>
      <c r="R196" s="244" t="e">
        <f t="shared" ca="1" si="118"/>
        <v>#N/A</v>
      </c>
      <c r="S196" s="248" t="e">
        <f ca="1">SUM($R$117:R196)</f>
        <v>#N/A</v>
      </c>
      <c r="T196" s="244" t="e">
        <f t="shared" ca="1" si="119"/>
        <v>#N/A</v>
      </c>
      <c r="U196" s="244" t="e">
        <f ca="1">SUM($T$117:T196)</f>
        <v>#N/A</v>
      </c>
      <c r="V196" t="e">
        <f t="shared" si="153"/>
        <v>#N/A</v>
      </c>
      <c r="W196" s="75" t="e">
        <f ca="1">SUM($V$117:V196)</f>
        <v>#N/A</v>
      </c>
      <c r="X196" s="78" t="e">
        <f t="shared" si="141"/>
        <v>#N/A</v>
      </c>
      <c r="Y196" t="e">
        <f t="shared" si="142"/>
        <v>#N/A</v>
      </c>
      <c r="Z196" t="e">
        <f t="shared" si="143"/>
        <v>#N/A</v>
      </c>
      <c r="AA196" s="75" t="e">
        <f ca="1">SUM($Z$117:Z196)</f>
        <v>#N/A</v>
      </c>
      <c r="AB196" t="e">
        <f t="shared" si="144"/>
        <v>#N/A</v>
      </c>
      <c r="AC196" s="78" t="e">
        <f ca="1">SUM($AB$117:AB196)</f>
        <v>#N/A</v>
      </c>
      <c r="AD196" t="e">
        <f t="shared" si="145"/>
        <v>#N/A</v>
      </c>
      <c r="AE196" t="e">
        <f t="shared" si="146"/>
        <v>#N/A</v>
      </c>
      <c r="AF196" t="e">
        <f t="shared" si="147"/>
        <v>#N/A</v>
      </c>
      <c r="AG196" t="e">
        <f t="shared" si="162"/>
        <v>#N/A</v>
      </c>
      <c r="AH196" t="e">
        <f t="shared" si="154"/>
        <v>#N/A</v>
      </c>
      <c r="AI196" t="e">
        <f t="shared" si="155"/>
        <v>#N/A</v>
      </c>
      <c r="AJ196" t="e">
        <f ca="1">SUM($AI$117:AI196)</f>
        <v>#N/A</v>
      </c>
      <c r="AK196" t="e">
        <f t="shared" si="160"/>
        <v>#N/A</v>
      </c>
      <c r="AL196" t="e">
        <f ca="1">SUM($AK$117:AK196)</f>
        <v>#N/A</v>
      </c>
      <c r="AM196" s="244" t="e">
        <f t="shared" ca="1" si="136"/>
        <v>#N/A</v>
      </c>
      <c r="AN196" s="248" t="e">
        <f ca="1">SUM($T$117:T196)+SUM($AM$117:AM196)</f>
        <v>#N/A</v>
      </c>
      <c r="AO196" t="e">
        <f t="shared" ca="1" si="163"/>
        <v>#N/A</v>
      </c>
      <c r="AP196" t="e">
        <f ca="1">SUM($AO$117:AO196)</f>
        <v>#N/A</v>
      </c>
      <c r="AQ196" t="e">
        <f t="shared" si="156"/>
        <v>#N/A</v>
      </c>
      <c r="AR196" t="e">
        <f t="shared" ca="1" si="148"/>
        <v>#N/A</v>
      </c>
      <c r="AS196" t="e">
        <f t="shared" ca="1" si="121"/>
        <v>#N/A</v>
      </c>
      <c r="AT196" t="e">
        <f t="shared" ca="1" si="122"/>
        <v>#N/A</v>
      </c>
      <c r="AU196" t="e">
        <f t="shared" ca="1" si="157"/>
        <v>#N/A</v>
      </c>
    </row>
    <row r="197" spans="2:47" x14ac:dyDescent="0.25">
      <c r="D197" s="78" t="e">
        <f ca="1">SUM(D117:D196)</f>
        <v>#N/A</v>
      </c>
      <c r="K197" t="e">
        <f ca="1">SUM(K117:K196)</f>
        <v>#N/A</v>
      </c>
      <c r="L197" s="54" t="e">
        <f ca="1">SUM(L117:L196)</f>
        <v>#N/A</v>
      </c>
      <c r="M197" s="888"/>
      <c r="N197" s="248" t="e">
        <f ca="1">SUM(N117:N196)</f>
        <v>#N/A</v>
      </c>
      <c r="O197" s="248" t="e">
        <f ca="1">SUM(O117:O196)</f>
        <v>#N/A</v>
      </c>
      <c r="R197" s="245" t="e">
        <f ca="1">SUM(R117:R196)</f>
        <v>#N/A</v>
      </c>
      <c r="S197" s="245"/>
      <c r="T197" s="245" t="e">
        <f ca="1">SUM(T117:T196)</f>
        <v>#N/A</v>
      </c>
      <c r="V197" t="e">
        <f ca="1">SUM(V117:V196)</f>
        <v>#N/A</v>
      </c>
      <c r="Z197" t="e">
        <f ca="1">SUM(Z117:Z196)</f>
        <v>#N/A</v>
      </c>
      <c r="AB197" t="e">
        <f ca="1">SUM(AB117:AB196)</f>
        <v>#N/A</v>
      </c>
      <c r="AC197" s="78"/>
      <c r="AD197" s="78" t="e">
        <f t="shared" ref="AD197:AI197" ca="1" si="164">SUM(AD117:AD196)</f>
        <v>#N/A</v>
      </c>
      <c r="AE197" s="54" t="e">
        <f t="shared" ca="1" si="164"/>
        <v>#N/A</v>
      </c>
      <c r="AF197" t="e">
        <f t="shared" ca="1" si="164"/>
        <v>#N/A</v>
      </c>
      <c r="AG197" t="e">
        <f t="shared" ca="1" si="164"/>
        <v>#N/A</v>
      </c>
      <c r="AH197" t="e">
        <f t="shared" ca="1" si="164"/>
        <v>#N/A</v>
      </c>
      <c r="AI197" s="391" t="e">
        <f t="shared" ca="1" si="164"/>
        <v>#N/A</v>
      </c>
      <c r="AJ197" s="402"/>
      <c r="AK197" s="391" t="e">
        <f ca="1">SUM(AK117:AK196)</f>
        <v>#N/A</v>
      </c>
      <c r="AL197" s="391"/>
      <c r="AM197" s="402" t="e">
        <f ca="1">SUM(AM117:AM196)</f>
        <v>#N/A</v>
      </c>
      <c r="AN197" s="402"/>
      <c r="AO197" t="e">
        <f ca="1">SUM(AM197,T197,R197)</f>
        <v>#N/A</v>
      </c>
      <c r="AQ197" t="e">
        <f ca="1">SUM(AQ117:AQ196)</f>
        <v>#N/A</v>
      </c>
    </row>
    <row r="198" spans="2:47" x14ac:dyDescent="0.25">
      <c r="M198" s="888"/>
    </row>
  </sheetData>
  <mergeCells count="12">
    <mergeCell ref="B2:K4"/>
    <mergeCell ref="D113:D114"/>
    <mergeCell ref="K113:L113"/>
    <mergeCell ref="D23:D24"/>
    <mergeCell ref="K23:L23"/>
    <mergeCell ref="J7:J9"/>
    <mergeCell ref="F7:F9"/>
    <mergeCell ref="G7:G9"/>
    <mergeCell ref="H7:H9"/>
    <mergeCell ref="I7:I9"/>
    <mergeCell ref="C9:D9"/>
    <mergeCell ref="C18:K19"/>
  </mergeCells>
  <conditionalFormatting sqref="C14:D14 C13">
    <cfRule type="expression" dxfId="3" priority="3">
      <formula>$D$9="no"</formula>
    </cfRule>
  </conditionalFormatting>
  <conditionalFormatting sqref="C17:D17">
    <cfRule type="expression" dxfId="2" priority="19">
      <formula>#REF!="Yes"</formula>
    </cfRule>
  </conditionalFormatting>
  <conditionalFormatting sqref="C17:D17">
    <cfRule type="expression" dxfId="1" priority="20">
      <formula>#REF!="yes"</formula>
    </cfRule>
  </conditionalFormatting>
  <conditionalFormatting sqref="C16:D17">
    <cfRule type="expression" dxfId="0" priority="21">
      <formula>#REF!="Yes"</formula>
    </cfRule>
  </conditionalFormatting>
  <hyperlinks>
    <hyperlink ref="F7:F9" location="'TABLE OF CONTENTS'!A1" display="Table of Contents"/>
    <hyperlink ref="G7:G9" location="Timeline!A1" display="Timeline"/>
    <hyperlink ref="H7:H9" location="INCUBATION!A1" display="Incubation Settings"/>
    <hyperlink ref="I7:I9" location="PEP_Decisions!A1" display="PEP Decisions"/>
    <hyperlink ref="J7:J9" location="IMPACT_ON_HLTHCARE!A1" display="Impact on Healthcare"/>
  </hyperlinks>
  <pageMargins left="0.7" right="0.7" top="0.75" bottom="0.75" header="0.3" footer="0.3"/>
  <pageSetup orientation="portrait" horizontalDpi="4294967294"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AFFFAF"/>
  </sheetPr>
  <dimension ref="B1:N43"/>
  <sheetViews>
    <sheetView zoomScale="130" zoomScaleNormal="130" workbookViewId="0"/>
  </sheetViews>
  <sheetFormatPr defaultRowHeight="13.2" x14ac:dyDescent="0.25"/>
  <cols>
    <col min="1" max="1" width="2.88671875" customWidth="1"/>
    <col min="2" max="2" width="7.6640625" style="76" customWidth="1"/>
    <col min="3" max="3" width="11.88671875" style="76" customWidth="1"/>
    <col min="4" max="4" width="15.33203125" style="76" customWidth="1"/>
    <col min="5" max="5" width="3.5546875" customWidth="1"/>
    <col min="6" max="6" width="13" customWidth="1"/>
    <col min="7" max="7" width="5.109375" customWidth="1"/>
  </cols>
  <sheetData>
    <row r="1" spans="2:14" ht="13.5" customHeight="1" thickBot="1" x14ac:dyDescent="0.3"/>
    <row r="2" spans="2:14" ht="16.5" customHeight="1" x14ac:dyDescent="0.25">
      <c r="B2" s="1289" t="s">
        <v>196</v>
      </c>
      <c r="C2" s="1289" t="s">
        <v>543</v>
      </c>
      <c r="D2" s="1289" t="s">
        <v>603</v>
      </c>
      <c r="F2" s="1209" t="s">
        <v>542</v>
      </c>
      <c r="H2" s="1291" t="s">
        <v>630</v>
      </c>
      <c r="I2" s="1291"/>
      <c r="J2" s="1291"/>
      <c r="K2" s="1291"/>
      <c r="L2" s="1291"/>
      <c r="M2" s="1291"/>
      <c r="N2" s="1291"/>
    </row>
    <row r="3" spans="2:14" ht="15.75" customHeight="1" x14ac:dyDescent="0.25">
      <c r="B3" s="1289"/>
      <c r="C3" s="1289"/>
      <c r="D3" s="1289"/>
      <c r="F3" s="1210"/>
      <c r="H3" s="1291"/>
      <c r="I3" s="1291"/>
      <c r="J3" s="1291"/>
      <c r="K3" s="1291"/>
      <c r="L3" s="1291"/>
      <c r="M3" s="1291"/>
      <c r="N3" s="1291"/>
    </row>
    <row r="4" spans="2:14" ht="13.5" customHeight="1" x14ac:dyDescent="0.25">
      <c r="B4" s="76">
        <v>1</v>
      </c>
      <c r="C4" s="76">
        <v>2</v>
      </c>
      <c r="D4" s="76">
        <f t="shared" ref="D4:D43" si="0">C4*10</f>
        <v>20</v>
      </c>
      <c r="F4" s="1210"/>
      <c r="H4" s="1291"/>
      <c r="I4" s="1291"/>
      <c r="J4" s="1291"/>
      <c r="K4" s="1291"/>
      <c r="L4" s="1291"/>
      <c r="M4" s="1291"/>
      <c r="N4" s="1291"/>
    </row>
    <row r="5" spans="2:14" ht="13.8" thickBot="1" x14ac:dyDescent="0.3">
      <c r="B5" s="76">
        <v>2</v>
      </c>
      <c r="C5" s="76">
        <v>1</v>
      </c>
      <c r="D5" s="76">
        <f t="shared" si="0"/>
        <v>10</v>
      </c>
      <c r="F5" s="1211"/>
      <c r="H5" s="1291"/>
      <c r="I5" s="1291"/>
      <c r="J5" s="1291"/>
      <c r="K5" s="1291"/>
      <c r="L5" s="1291"/>
      <c r="M5" s="1291"/>
      <c r="N5" s="1291"/>
    </row>
    <row r="6" spans="2:14" x14ac:dyDescent="0.25">
      <c r="B6" s="76">
        <v>3</v>
      </c>
      <c r="C6" s="76">
        <v>7</v>
      </c>
      <c r="D6" s="76">
        <f t="shared" si="0"/>
        <v>70</v>
      </c>
    </row>
    <row r="7" spans="2:14" x14ac:dyDescent="0.25">
      <c r="B7" s="76">
        <v>4</v>
      </c>
      <c r="C7" s="76">
        <v>4</v>
      </c>
      <c r="D7" s="76">
        <f t="shared" si="0"/>
        <v>40</v>
      </c>
    </row>
    <row r="8" spans="2:14" x14ac:dyDescent="0.25">
      <c r="B8" s="76">
        <v>5</v>
      </c>
      <c r="C8" s="76">
        <v>5</v>
      </c>
      <c r="D8" s="76">
        <f t="shared" si="0"/>
        <v>50</v>
      </c>
    </row>
    <row r="9" spans="2:14" x14ac:dyDescent="0.25">
      <c r="B9" s="76">
        <v>6</v>
      </c>
      <c r="C9" s="76">
        <v>5</v>
      </c>
      <c r="D9" s="76">
        <f t="shared" si="0"/>
        <v>50</v>
      </c>
    </row>
    <row r="10" spans="2:14" x14ac:dyDescent="0.25">
      <c r="B10" s="76">
        <v>7</v>
      </c>
      <c r="C10" s="76">
        <v>7</v>
      </c>
      <c r="D10" s="76">
        <f t="shared" si="0"/>
        <v>70</v>
      </c>
    </row>
    <row r="11" spans="2:14" x14ac:dyDescent="0.25">
      <c r="B11" s="76">
        <v>8</v>
      </c>
      <c r="C11" s="76">
        <v>3</v>
      </c>
      <c r="D11" s="76">
        <f t="shared" si="0"/>
        <v>30</v>
      </c>
    </row>
    <row r="12" spans="2:14" x14ac:dyDescent="0.25">
      <c r="B12" s="76">
        <v>9</v>
      </c>
      <c r="C12" s="76">
        <v>5</v>
      </c>
      <c r="D12" s="76">
        <f t="shared" si="0"/>
        <v>50</v>
      </c>
    </row>
    <row r="13" spans="2:14" x14ac:dyDescent="0.25">
      <c r="B13" s="76">
        <v>10</v>
      </c>
      <c r="C13" s="76">
        <v>3</v>
      </c>
      <c r="D13" s="76">
        <f t="shared" si="0"/>
        <v>30</v>
      </c>
    </row>
    <row r="14" spans="2:14" x14ac:dyDescent="0.25">
      <c r="B14" s="76">
        <v>11</v>
      </c>
      <c r="C14" s="76">
        <v>4</v>
      </c>
      <c r="D14" s="76">
        <f t="shared" si="0"/>
        <v>40</v>
      </c>
    </row>
    <row r="15" spans="2:14" x14ac:dyDescent="0.25">
      <c r="B15" s="76">
        <v>12</v>
      </c>
      <c r="C15" s="76">
        <v>5</v>
      </c>
      <c r="D15" s="76">
        <f t="shared" si="0"/>
        <v>50</v>
      </c>
    </row>
    <row r="16" spans="2:14" x14ac:dyDescent="0.25">
      <c r="B16" s="76">
        <v>13</v>
      </c>
      <c r="C16" s="76">
        <v>2</v>
      </c>
      <c r="D16" s="76">
        <f t="shared" si="0"/>
        <v>20</v>
      </c>
    </row>
    <row r="17" spans="2:13" x14ac:dyDescent="0.25">
      <c r="B17" s="76">
        <v>14</v>
      </c>
      <c r="C17" s="76">
        <v>1</v>
      </c>
      <c r="D17" s="76">
        <f t="shared" si="0"/>
        <v>10</v>
      </c>
    </row>
    <row r="18" spans="2:13" x14ac:dyDescent="0.25">
      <c r="B18" s="76">
        <v>15</v>
      </c>
      <c r="C18" s="76">
        <v>0</v>
      </c>
      <c r="D18" s="76">
        <f t="shared" si="0"/>
        <v>0</v>
      </c>
    </row>
    <row r="19" spans="2:13" x14ac:dyDescent="0.25">
      <c r="B19" s="76">
        <v>16</v>
      </c>
      <c r="C19" s="76">
        <v>1</v>
      </c>
      <c r="D19" s="76">
        <f t="shared" si="0"/>
        <v>10</v>
      </c>
    </row>
    <row r="20" spans="2:13" x14ac:dyDescent="0.25">
      <c r="B20" s="76">
        <v>17</v>
      </c>
      <c r="C20" s="76">
        <v>1</v>
      </c>
      <c r="D20" s="76">
        <f t="shared" si="0"/>
        <v>10</v>
      </c>
    </row>
    <row r="21" spans="2:13" x14ac:dyDescent="0.25">
      <c r="B21" s="76">
        <v>18</v>
      </c>
      <c r="C21" s="76">
        <v>2</v>
      </c>
      <c r="D21" s="76">
        <f t="shared" si="0"/>
        <v>20</v>
      </c>
    </row>
    <row r="22" spans="2:13" x14ac:dyDescent="0.25">
      <c r="B22" s="76">
        <v>19</v>
      </c>
      <c r="C22" s="76">
        <v>2</v>
      </c>
      <c r="D22" s="76">
        <f t="shared" si="0"/>
        <v>20</v>
      </c>
    </row>
    <row r="23" spans="2:13" x14ac:dyDescent="0.25">
      <c r="B23" s="76">
        <v>20</v>
      </c>
      <c r="C23" s="76">
        <v>0</v>
      </c>
      <c r="D23" s="76">
        <f t="shared" si="0"/>
        <v>0</v>
      </c>
    </row>
    <row r="24" spans="2:13" x14ac:dyDescent="0.25">
      <c r="B24" s="76">
        <v>21</v>
      </c>
      <c r="C24" s="76">
        <v>0</v>
      </c>
      <c r="D24" s="76">
        <f t="shared" si="0"/>
        <v>0</v>
      </c>
    </row>
    <row r="25" spans="2:13" x14ac:dyDescent="0.25">
      <c r="B25" s="76">
        <v>22</v>
      </c>
      <c r="C25" s="76">
        <v>2</v>
      </c>
      <c r="D25" s="76">
        <f t="shared" si="0"/>
        <v>20</v>
      </c>
    </row>
    <row r="26" spans="2:13" x14ac:dyDescent="0.25">
      <c r="B26" s="76">
        <v>23</v>
      </c>
      <c r="C26" s="76">
        <v>0</v>
      </c>
      <c r="D26" s="76">
        <f t="shared" si="0"/>
        <v>0</v>
      </c>
      <c r="F26" s="1290" t="s">
        <v>600</v>
      </c>
      <c r="G26" s="1290"/>
      <c r="H26" s="1290"/>
      <c r="I26" s="1290"/>
      <c r="J26" s="1290"/>
      <c r="K26" s="1290"/>
      <c r="L26" s="1290"/>
      <c r="M26" s="1290"/>
    </row>
    <row r="27" spans="2:13" ht="12.75" customHeight="1" x14ac:dyDescent="0.25">
      <c r="B27" s="76">
        <v>24</v>
      </c>
      <c r="C27" s="76">
        <v>1</v>
      </c>
      <c r="D27" s="76">
        <f t="shared" si="0"/>
        <v>10</v>
      </c>
      <c r="F27" s="1290"/>
      <c r="G27" s="1290"/>
      <c r="H27" s="1290"/>
      <c r="I27" s="1290"/>
      <c r="J27" s="1290"/>
      <c r="K27" s="1290"/>
      <c r="L27" s="1290"/>
      <c r="M27" s="1290"/>
    </row>
    <row r="28" spans="2:13" x14ac:dyDescent="0.25">
      <c r="B28" s="76">
        <v>25</v>
      </c>
      <c r="C28" s="76">
        <v>1</v>
      </c>
      <c r="D28" s="76">
        <f t="shared" si="0"/>
        <v>10</v>
      </c>
      <c r="F28" s="896"/>
      <c r="G28" s="896"/>
      <c r="H28" s="896"/>
      <c r="I28" s="896"/>
      <c r="J28" s="896"/>
      <c r="K28" s="896"/>
      <c r="L28" s="896"/>
      <c r="M28" s="896"/>
    </row>
    <row r="29" spans="2:13" x14ac:dyDescent="0.25">
      <c r="B29" s="76">
        <v>26</v>
      </c>
      <c r="C29" s="76">
        <v>1</v>
      </c>
      <c r="D29" s="76">
        <f t="shared" si="0"/>
        <v>10</v>
      </c>
      <c r="F29" s="856"/>
      <c r="G29" s="856"/>
      <c r="H29" s="856"/>
      <c r="I29" s="856"/>
      <c r="J29" s="856"/>
      <c r="K29" s="856"/>
      <c r="L29" s="856"/>
      <c r="M29" s="856"/>
    </row>
    <row r="30" spans="2:13" x14ac:dyDescent="0.25">
      <c r="B30" s="76">
        <v>27</v>
      </c>
      <c r="C30" s="76">
        <v>0</v>
      </c>
      <c r="D30" s="76">
        <f t="shared" si="0"/>
        <v>0</v>
      </c>
    </row>
    <row r="31" spans="2:13" x14ac:dyDescent="0.25">
      <c r="B31" s="76">
        <v>28</v>
      </c>
      <c r="C31" s="76">
        <v>0</v>
      </c>
      <c r="D31" s="76">
        <f t="shared" si="0"/>
        <v>0</v>
      </c>
    </row>
    <row r="32" spans="2:13" x14ac:dyDescent="0.25">
      <c r="B32" s="76">
        <v>29</v>
      </c>
      <c r="C32" s="76">
        <v>1</v>
      </c>
      <c r="D32" s="76">
        <f t="shared" si="0"/>
        <v>10</v>
      </c>
    </row>
    <row r="33" spans="2:4" x14ac:dyDescent="0.25">
      <c r="B33" s="76">
        <v>30</v>
      </c>
      <c r="C33" s="76">
        <v>0</v>
      </c>
      <c r="D33" s="76">
        <f t="shared" si="0"/>
        <v>0</v>
      </c>
    </row>
    <row r="34" spans="2:4" x14ac:dyDescent="0.25">
      <c r="B34" s="76">
        <v>31</v>
      </c>
      <c r="C34" s="76">
        <v>1</v>
      </c>
      <c r="D34" s="76">
        <f t="shared" si="0"/>
        <v>10</v>
      </c>
    </row>
    <row r="35" spans="2:4" x14ac:dyDescent="0.25">
      <c r="B35" s="76">
        <v>32</v>
      </c>
      <c r="C35" s="76">
        <v>0</v>
      </c>
      <c r="D35" s="76">
        <f t="shared" si="0"/>
        <v>0</v>
      </c>
    </row>
    <row r="36" spans="2:4" x14ac:dyDescent="0.25">
      <c r="B36" s="76">
        <v>33</v>
      </c>
      <c r="C36" s="76">
        <v>0</v>
      </c>
      <c r="D36" s="76">
        <f t="shared" si="0"/>
        <v>0</v>
      </c>
    </row>
    <row r="37" spans="2:4" x14ac:dyDescent="0.25">
      <c r="B37" s="76">
        <v>34</v>
      </c>
      <c r="C37" s="76">
        <v>1</v>
      </c>
      <c r="D37" s="76">
        <f t="shared" si="0"/>
        <v>10</v>
      </c>
    </row>
    <row r="38" spans="2:4" x14ac:dyDescent="0.25">
      <c r="B38" s="76">
        <v>35</v>
      </c>
      <c r="C38" s="76">
        <v>0</v>
      </c>
      <c r="D38" s="76">
        <f t="shared" si="0"/>
        <v>0</v>
      </c>
    </row>
    <row r="39" spans="2:4" x14ac:dyDescent="0.25">
      <c r="B39" s="76">
        <v>36</v>
      </c>
      <c r="C39" s="76">
        <v>1</v>
      </c>
      <c r="D39" s="76">
        <f t="shared" si="0"/>
        <v>10</v>
      </c>
    </row>
    <row r="40" spans="2:4" x14ac:dyDescent="0.25">
      <c r="B40" s="76">
        <v>37</v>
      </c>
      <c r="C40" s="76">
        <v>0</v>
      </c>
      <c r="D40" s="76">
        <f t="shared" si="0"/>
        <v>0</v>
      </c>
    </row>
    <row r="41" spans="2:4" x14ac:dyDescent="0.25">
      <c r="B41" s="76">
        <v>38</v>
      </c>
      <c r="C41" s="76">
        <v>0</v>
      </c>
      <c r="D41" s="76">
        <f t="shared" si="0"/>
        <v>0</v>
      </c>
    </row>
    <row r="42" spans="2:4" x14ac:dyDescent="0.25">
      <c r="B42" s="76">
        <v>39</v>
      </c>
      <c r="C42" s="76">
        <v>1</v>
      </c>
      <c r="D42" s="76">
        <f t="shared" si="0"/>
        <v>10</v>
      </c>
    </row>
    <row r="43" spans="2:4" x14ac:dyDescent="0.25">
      <c r="B43" s="76">
        <v>40</v>
      </c>
      <c r="C43" s="76">
        <v>0</v>
      </c>
      <c r="D43" s="76">
        <f t="shared" si="0"/>
        <v>0</v>
      </c>
    </row>
  </sheetData>
  <mergeCells count="6">
    <mergeCell ref="F2:F5"/>
    <mergeCell ref="B2:B3"/>
    <mergeCell ref="C2:C3"/>
    <mergeCell ref="F26:M27"/>
    <mergeCell ref="D2:D3"/>
    <mergeCell ref="H2:N5"/>
  </mergeCells>
  <hyperlinks>
    <hyperlink ref="F2:F5" location="CASE_COUNTS!C10" display="CASE_COUNTS!C10"/>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79998168889431442"/>
  </sheetPr>
  <dimension ref="B1:S33"/>
  <sheetViews>
    <sheetView showGridLines="0" showRowColHeaders="0" zoomScale="140" zoomScaleNormal="140" workbookViewId="0"/>
  </sheetViews>
  <sheetFormatPr defaultRowHeight="13.2" x14ac:dyDescent="0.25"/>
  <cols>
    <col min="1" max="1" width="2.109375" customWidth="1"/>
    <col min="4" max="4" width="5.109375" customWidth="1"/>
    <col min="7" max="7" width="6" customWidth="1"/>
    <col min="8" max="8" width="6.33203125" customWidth="1"/>
    <col min="10" max="10" width="4.88671875" customWidth="1"/>
    <col min="11" max="11" width="9.109375" customWidth="1"/>
    <col min="12" max="12" width="6.88671875" customWidth="1"/>
    <col min="13" max="13" width="1.5546875" customWidth="1"/>
    <col min="14" max="14" width="5.33203125" customWidth="1"/>
    <col min="15" max="15" width="4.88671875" customWidth="1"/>
    <col min="16" max="16" width="4.5546875" customWidth="1"/>
  </cols>
  <sheetData>
    <row r="1" spans="2:19" ht="6.75" customHeight="1" thickBot="1" x14ac:dyDescent="0.3"/>
    <row r="2" spans="2:19" ht="16.2" thickBot="1" x14ac:dyDescent="0.3">
      <c r="B2" s="167" t="s">
        <v>151</v>
      </c>
      <c r="C2" s="168"/>
      <c r="D2" s="169"/>
      <c r="E2" s="169"/>
      <c r="F2" s="169"/>
      <c r="G2" s="169"/>
      <c r="H2" s="169"/>
      <c r="I2" s="169"/>
      <c r="J2" s="169"/>
      <c r="K2" s="169"/>
      <c r="L2" s="573"/>
      <c r="N2" s="968" t="s">
        <v>401</v>
      </c>
      <c r="O2" s="969"/>
      <c r="P2" s="970"/>
    </row>
    <row r="3" spans="2:19" x14ac:dyDescent="0.25">
      <c r="B3" s="977" t="s">
        <v>621</v>
      </c>
      <c r="C3" s="978"/>
      <c r="D3" s="978"/>
      <c r="E3" s="978"/>
      <c r="F3" s="978"/>
      <c r="G3" s="978"/>
      <c r="H3" s="978"/>
      <c r="I3" s="978"/>
      <c r="J3" s="978"/>
      <c r="K3" s="978"/>
      <c r="L3" s="979"/>
      <c r="N3" s="971"/>
      <c r="O3" s="972"/>
      <c r="P3" s="973"/>
    </row>
    <row r="4" spans="2:19" x14ac:dyDescent="0.25">
      <c r="B4" s="980"/>
      <c r="C4" s="981"/>
      <c r="D4" s="981"/>
      <c r="E4" s="981"/>
      <c r="F4" s="981"/>
      <c r="G4" s="981"/>
      <c r="H4" s="981"/>
      <c r="I4" s="981"/>
      <c r="J4" s="981"/>
      <c r="K4" s="981"/>
      <c r="L4" s="982"/>
      <c r="N4" s="971"/>
      <c r="O4" s="972"/>
      <c r="P4" s="973"/>
    </row>
    <row r="5" spans="2:19" x14ac:dyDescent="0.25">
      <c r="B5" s="980"/>
      <c r="C5" s="981"/>
      <c r="D5" s="981"/>
      <c r="E5" s="981"/>
      <c r="F5" s="981"/>
      <c r="G5" s="981"/>
      <c r="H5" s="981"/>
      <c r="I5" s="981"/>
      <c r="J5" s="981"/>
      <c r="K5" s="981"/>
      <c r="L5" s="982"/>
      <c r="N5" s="971"/>
      <c r="O5" s="972"/>
      <c r="P5" s="973"/>
    </row>
    <row r="6" spans="2:19" ht="13.8" thickBot="1" x14ac:dyDescent="0.3">
      <c r="B6" s="980"/>
      <c r="C6" s="981"/>
      <c r="D6" s="981"/>
      <c r="E6" s="981"/>
      <c r="F6" s="981"/>
      <c r="G6" s="981"/>
      <c r="H6" s="981"/>
      <c r="I6" s="981"/>
      <c r="J6" s="981"/>
      <c r="K6" s="981"/>
      <c r="L6" s="982"/>
      <c r="N6" s="974"/>
      <c r="O6" s="975"/>
      <c r="P6" s="976"/>
    </row>
    <row r="7" spans="2:19" ht="13.8" thickBot="1" x14ac:dyDescent="0.3">
      <c r="B7" s="980"/>
      <c r="C7" s="981"/>
      <c r="D7" s="981"/>
      <c r="E7" s="981"/>
      <c r="F7" s="981"/>
      <c r="G7" s="981"/>
      <c r="H7" s="981"/>
      <c r="I7" s="981"/>
      <c r="J7" s="981"/>
      <c r="K7" s="981"/>
      <c r="L7" s="982"/>
    </row>
    <row r="8" spans="2:19" ht="12.75" customHeight="1" x14ac:dyDescent="0.25">
      <c r="B8" s="980"/>
      <c r="C8" s="981"/>
      <c r="D8" s="981"/>
      <c r="E8" s="981"/>
      <c r="F8" s="981"/>
      <c r="G8" s="981"/>
      <c r="H8" s="981"/>
      <c r="I8" s="981"/>
      <c r="J8" s="981"/>
      <c r="K8" s="981"/>
      <c r="L8" s="982"/>
      <c r="N8" s="983" t="s">
        <v>152</v>
      </c>
      <c r="O8" s="984"/>
      <c r="P8" s="985"/>
    </row>
    <row r="9" spans="2:19" ht="13.5" customHeight="1" x14ac:dyDescent="0.25">
      <c r="B9" s="980"/>
      <c r="C9" s="981"/>
      <c r="D9" s="981"/>
      <c r="E9" s="981"/>
      <c r="F9" s="981"/>
      <c r="G9" s="981"/>
      <c r="H9" s="981"/>
      <c r="I9" s="981"/>
      <c r="J9" s="981"/>
      <c r="K9" s="981"/>
      <c r="L9" s="982"/>
      <c r="N9" s="986"/>
      <c r="O9" s="987"/>
      <c r="P9" s="988"/>
    </row>
    <row r="10" spans="2:19" ht="12.75" customHeight="1" x14ac:dyDescent="0.25">
      <c r="B10" s="198"/>
      <c r="C10" s="75"/>
      <c r="D10" s="75"/>
      <c r="E10" s="75"/>
      <c r="F10" s="75"/>
      <c r="G10" s="75"/>
      <c r="H10" s="75"/>
      <c r="I10" s="75"/>
      <c r="J10" s="75"/>
      <c r="K10" s="75"/>
      <c r="L10" s="197"/>
      <c r="N10" s="986"/>
      <c r="O10" s="987"/>
      <c r="P10" s="988"/>
    </row>
    <row r="11" spans="2:19" ht="13.5" customHeight="1" thickBot="1" x14ac:dyDescent="0.3">
      <c r="B11" s="198" t="s">
        <v>402</v>
      </c>
      <c r="C11" s="75"/>
      <c r="D11" s="75"/>
      <c r="E11" s="75"/>
      <c r="F11" s="75"/>
      <c r="G11" s="75"/>
      <c r="H11" s="75"/>
      <c r="I11" s="75"/>
      <c r="J11" s="75"/>
      <c r="K11" s="75"/>
      <c r="L11" s="197"/>
      <c r="N11" s="989"/>
      <c r="O11" s="990"/>
      <c r="P11" s="991"/>
    </row>
    <row r="12" spans="2:19" x14ac:dyDescent="0.25">
      <c r="B12" s="577" t="s">
        <v>622</v>
      </c>
      <c r="C12" s="149"/>
      <c r="D12" s="149"/>
      <c r="E12" s="149"/>
      <c r="F12" s="149"/>
      <c r="G12" s="149"/>
      <c r="H12" s="149"/>
      <c r="I12" s="149"/>
      <c r="J12" s="149"/>
      <c r="K12" s="149"/>
      <c r="L12" s="578"/>
      <c r="M12" s="54"/>
      <c r="N12" s="54"/>
      <c r="O12" s="54"/>
    </row>
    <row r="13" spans="2:19" x14ac:dyDescent="0.25">
      <c r="B13" s="577" t="s">
        <v>623</v>
      </c>
      <c r="C13" s="149"/>
      <c r="D13" s="149"/>
      <c r="E13" s="149"/>
      <c r="F13" s="149"/>
      <c r="G13" s="149"/>
      <c r="H13" s="149"/>
      <c r="I13" s="149"/>
      <c r="J13" s="149"/>
      <c r="K13" s="149"/>
      <c r="L13" s="578"/>
      <c r="M13" s="54"/>
      <c r="N13" s="54"/>
      <c r="O13" s="54"/>
      <c r="S13" s="76"/>
    </row>
    <row r="14" spans="2:19" x14ac:dyDescent="0.25">
      <c r="B14" s="577" t="s">
        <v>624</v>
      </c>
      <c r="C14" s="149"/>
      <c r="D14" s="149"/>
      <c r="E14" s="149"/>
      <c r="F14" s="149"/>
      <c r="G14" s="149"/>
      <c r="H14" s="149"/>
      <c r="I14" s="149"/>
      <c r="J14" s="149"/>
      <c r="K14" s="149"/>
      <c r="L14" s="578"/>
      <c r="M14" s="54"/>
      <c r="N14" s="54"/>
      <c r="O14" s="54"/>
    </row>
    <row r="15" spans="2:19" ht="6" customHeight="1" x14ac:dyDescent="0.25">
      <c r="B15" s="198"/>
      <c r="C15" s="75"/>
      <c r="D15" s="75"/>
      <c r="E15" s="75"/>
      <c r="F15" s="75"/>
      <c r="G15" s="75"/>
      <c r="H15" s="75"/>
      <c r="I15" s="75"/>
      <c r="J15" s="75"/>
      <c r="K15" s="75"/>
      <c r="L15" s="197"/>
    </row>
    <row r="16" spans="2:19" x14ac:dyDescent="0.25">
      <c r="B16" s="579" t="s">
        <v>403</v>
      </c>
      <c r="C16" s="75"/>
      <c r="D16" s="75"/>
      <c r="E16" s="75"/>
      <c r="F16" s="75"/>
      <c r="G16" s="75"/>
      <c r="H16" s="75"/>
      <c r="I16" s="75"/>
      <c r="J16" s="75"/>
      <c r="K16" s="75"/>
      <c r="L16" s="197"/>
    </row>
    <row r="17" spans="2:12" x14ac:dyDescent="0.25">
      <c r="B17" s="577" t="s">
        <v>404</v>
      </c>
      <c r="C17" s="75"/>
      <c r="D17" s="75"/>
      <c r="E17" s="75"/>
      <c r="F17" s="75"/>
      <c r="G17" s="75"/>
      <c r="H17" s="75"/>
      <c r="I17" s="75"/>
      <c r="J17" s="75"/>
      <c r="K17" s="75"/>
      <c r="L17" s="197"/>
    </row>
    <row r="18" spans="2:12" x14ac:dyDescent="0.25">
      <c r="B18" s="577"/>
      <c r="C18" s="580" t="s">
        <v>405</v>
      </c>
      <c r="D18" s="75"/>
      <c r="E18" s="75"/>
      <c r="F18" s="75"/>
      <c r="G18" s="75"/>
      <c r="H18" s="75"/>
      <c r="I18" s="75"/>
      <c r="J18" s="75"/>
      <c r="K18" s="75"/>
      <c r="L18" s="197"/>
    </row>
    <row r="19" spans="2:12" x14ac:dyDescent="0.25">
      <c r="B19" s="577"/>
      <c r="C19" s="580" t="s">
        <v>408</v>
      </c>
      <c r="D19" s="75"/>
      <c r="E19" s="75"/>
      <c r="F19" s="75"/>
      <c r="G19" s="75"/>
      <c r="H19" s="75"/>
      <c r="I19" s="75"/>
      <c r="J19" s="75"/>
      <c r="K19" s="75"/>
      <c r="L19" s="197"/>
    </row>
    <row r="20" spans="2:12" x14ac:dyDescent="0.25">
      <c r="B20" s="577" t="s">
        <v>406</v>
      </c>
      <c r="C20" s="75"/>
      <c r="D20" s="75"/>
      <c r="E20" s="75"/>
      <c r="F20" s="75"/>
      <c r="G20" s="75"/>
      <c r="H20" s="75"/>
      <c r="I20" s="75"/>
      <c r="J20" s="75"/>
      <c r="K20" s="75"/>
      <c r="L20" s="197"/>
    </row>
    <row r="21" spans="2:12" x14ac:dyDescent="0.25">
      <c r="B21" s="198"/>
      <c r="C21" s="580" t="s">
        <v>407</v>
      </c>
      <c r="D21" s="75"/>
      <c r="E21" s="75"/>
      <c r="F21" s="75"/>
      <c r="G21" s="75"/>
      <c r="H21" s="75"/>
      <c r="I21" s="75"/>
      <c r="J21" s="75"/>
      <c r="K21" s="75"/>
      <c r="L21" s="197"/>
    </row>
    <row r="22" spans="2:12" ht="12.75" customHeight="1" x14ac:dyDescent="0.25">
      <c r="B22" s="198"/>
      <c r="C22" s="960" t="s">
        <v>588</v>
      </c>
      <c r="D22" s="960"/>
      <c r="E22" s="960"/>
      <c r="F22" s="960"/>
      <c r="G22" s="960"/>
      <c r="H22" s="960"/>
      <c r="I22" s="960"/>
      <c r="J22" s="960"/>
      <c r="K22" s="960"/>
      <c r="L22" s="961"/>
    </row>
    <row r="23" spans="2:12" x14ac:dyDescent="0.25">
      <c r="B23" s="198"/>
      <c r="C23" s="960"/>
      <c r="D23" s="960"/>
      <c r="E23" s="960"/>
      <c r="F23" s="960"/>
      <c r="G23" s="960"/>
      <c r="H23" s="960"/>
      <c r="I23" s="960"/>
      <c r="J23" s="960"/>
      <c r="K23" s="960"/>
      <c r="L23" s="961"/>
    </row>
    <row r="24" spans="2:12" ht="55.2" customHeight="1" x14ac:dyDescent="0.25">
      <c r="B24" s="198"/>
      <c r="C24" s="960"/>
      <c r="D24" s="960"/>
      <c r="E24" s="960"/>
      <c r="F24" s="960"/>
      <c r="G24" s="960"/>
      <c r="H24" s="960"/>
      <c r="I24" s="960"/>
      <c r="J24" s="960"/>
      <c r="K24" s="960"/>
      <c r="L24" s="961"/>
    </row>
    <row r="25" spans="2:12" ht="6" customHeight="1" x14ac:dyDescent="0.25">
      <c r="B25" s="198"/>
      <c r="C25" s="75"/>
      <c r="D25" s="75"/>
      <c r="E25" s="75"/>
      <c r="F25" s="75"/>
      <c r="G25" s="75"/>
      <c r="H25" s="75"/>
      <c r="I25" s="75"/>
      <c r="J25" s="75"/>
      <c r="K25" s="75"/>
      <c r="L25" s="197"/>
    </row>
    <row r="26" spans="2:12" ht="12.75" customHeight="1" x14ac:dyDescent="0.25">
      <c r="B26" s="962" t="s">
        <v>625</v>
      </c>
      <c r="C26" s="963"/>
      <c r="D26" s="963"/>
      <c r="E26" s="963"/>
      <c r="F26" s="963"/>
      <c r="G26" s="963"/>
      <c r="H26" s="963"/>
      <c r="I26" s="963"/>
      <c r="J26" s="963"/>
      <c r="K26" s="963"/>
      <c r="L26" s="964"/>
    </row>
    <row r="27" spans="2:12" x14ac:dyDescent="0.25">
      <c r="B27" s="962"/>
      <c r="C27" s="963"/>
      <c r="D27" s="963"/>
      <c r="E27" s="963"/>
      <c r="F27" s="963"/>
      <c r="G27" s="963"/>
      <c r="H27" s="963"/>
      <c r="I27" s="963"/>
      <c r="J27" s="963"/>
      <c r="K27" s="963"/>
      <c r="L27" s="964"/>
    </row>
    <row r="28" spans="2:12" x14ac:dyDescent="0.25">
      <c r="B28" s="962"/>
      <c r="C28" s="963"/>
      <c r="D28" s="963"/>
      <c r="E28" s="963"/>
      <c r="F28" s="963"/>
      <c r="G28" s="963"/>
      <c r="H28" s="963"/>
      <c r="I28" s="963"/>
      <c r="J28" s="963"/>
      <c r="K28" s="963"/>
      <c r="L28" s="964"/>
    </row>
    <row r="29" spans="2:12" x14ac:dyDescent="0.25">
      <c r="B29" s="962"/>
      <c r="C29" s="963"/>
      <c r="D29" s="963"/>
      <c r="E29" s="963"/>
      <c r="F29" s="963"/>
      <c r="G29" s="963"/>
      <c r="H29" s="963"/>
      <c r="I29" s="963"/>
      <c r="J29" s="963"/>
      <c r="K29" s="963"/>
      <c r="L29" s="964"/>
    </row>
    <row r="30" spans="2:12" x14ac:dyDescent="0.25">
      <c r="B30" s="962"/>
      <c r="C30" s="963"/>
      <c r="D30" s="963"/>
      <c r="E30" s="963"/>
      <c r="F30" s="963"/>
      <c r="G30" s="963"/>
      <c r="H30" s="963"/>
      <c r="I30" s="963"/>
      <c r="J30" s="963"/>
      <c r="K30" s="963"/>
      <c r="L30" s="964"/>
    </row>
    <row r="31" spans="2:12" ht="29.25" customHeight="1" thickBot="1" x14ac:dyDescent="0.3">
      <c r="B31" s="965"/>
      <c r="C31" s="966"/>
      <c r="D31" s="966"/>
      <c r="E31" s="966"/>
      <c r="F31" s="966"/>
      <c r="G31" s="966"/>
      <c r="H31" s="966"/>
      <c r="I31" s="966"/>
      <c r="J31" s="966"/>
      <c r="K31" s="966"/>
      <c r="L31" s="967"/>
    </row>
    <row r="32" spans="2:12" ht="8.25" customHeight="1" x14ac:dyDescent="0.25"/>
    <row r="33" ht="4.5" customHeight="1" x14ac:dyDescent="0.25"/>
  </sheetData>
  <mergeCells count="5">
    <mergeCell ref="C22:L24"/>
    <mergeCell ref="B26:L31"/>
    <mergeCell ref="N2:P6"/>
    <mergeCell ref="B3:L9"/>
    <mergeCell ref="N8:P11"/>
  </mergeCells>
  <hyperlinks>
    <hyperlink ref="N2" location="'TABLE OF CONTENTS'!A1" display="Table of Contents"/>
    <hyperlink ref="N8:P11" location="'GETTING STARTED'!A1" display="GETTING STARTED / INSTRUCTONS"/>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tint="0.79998168889431442"/>
  </sheetPr>
  <dimension ref="B1:P54"/>
  <sheetViews>
    <sheetView showGridLines="0" showRowColHeaders="0" zoomScale="130" zoomScaleNormal="130" workbookViewId="0"/>
  </sheetViews>
  <sheetFormatPr defaultRowHeight="13.2" x14ac:dyDescent="0.25"/>
  <cols>
    <col min="1" max="1" width="2.6640625" customWidth="1"/>
    <col min="13" max="13" width="2.6640625" customWidth="1"/>
    <col min="14" max="14" width="7.109375" customWidth="1"/>
    <col min="15" max="15" width="7" customWidth="1"/>
    <col min="16" max="16" width="2.6640625" customWidth="1"/>
  </cols>
  <sheetData>
    <row r="1" spans="2:16" ht="13.8" thickBot="1" x14ac:dyDescent="0.3"/>
    <row r="2" spans="2:16" ht="16.2" thickBot="1" x14ac:dyDescent="0.3">
      <c r="B2" s="167" t="s">
        <v>411</v>
      </c>
      <c r="C2" s="168"/>
      <c r="D2" s="169"/>
      <c r="E2" s="169"/>
      <c r="F2" s="169"/>
      <c r="G2" s="169"/>
      <c r="H2" s="169"/>
      <c r="I2" s="169"/>
      <c r="J2" s="169"/>
      <c r="K2" s="169"/>
      <c r="L2" s="573"/>
    </row>
    <row r="3" spans="2:16" ht="13.5" customHeight="1" thickBot="1" x14ac:dyDescent="0.3">
      <c r="B3" s="977" t="s">
        <v>412</v>
      </c>
      <c r="C3" s="995"/>
      <c r="D3" s="995"/>
      <c r="E3" s="995"/>
      <c r="F3" s="995"/>
      <c r="G3" s="995"/>
      <c r="H3" s="995"/>
      <c r="I3" s="995"/>
      <c r="J3" s="995"/>
      <c r="K3" s="995"/>
      <c r="L3" s="996"/>
    </row>
    <row r="4" spans="2:16" ht="12.75" customHeight="1" x14ac:dyDescent="0.25">
      <c r="B4" s="992"/>
      <c r="C4" s="993"/>
      <c r="D4" s="993"/>
      <c r="E4" s="993"/>
      <c r="F4" s="993"/>
      <c r="G4" s="993"/>
      <c r="H4" s="993"/>
      <c r="I4" s="993"/>
      <c r="J4" s="993"/>
      <c r="K4" s="993"/>
      <c r="L4" s="994"/>
      <c r="N4" s="968" t="s">
        <v>401</v>
      </c>
      <c r="O4" s="969"/>
      <c r="P4" s="970"/>
    </row>
    <row r="5" spans="2:16" ht="15" customHeight="1" x14ac:dyDescent="0.25">
      <c r="B5" s="992"/>
      <c r="C5" s="993"/>
      <c r="D5" s="993"/>
      <c r="E5" s="993"/>
      <c r="F5" s="993"/>
      <c r="G5" s="993"/>
      <c r="H5" s="993"/>
      <c r="I5" s="993"/>
      <c r="J5" s="993"/>
      <c r="K5" s="993"/>
      <c r="L5" s="994"/>
      <c r="N5" s="971"/>
      <c r="O5" s="972"/>
      <c r="P5" s="973"/>
    </row>
    <row r="6" spans="2:16" ht="9.6" customHeight="1" x14ac:dyDescent="0.25">
      <c r="B6" s="574"/>
      <c r="C6" s="575"/>
      <c r="D6" s="575"/>
      <c r="E6" s="575"/>
      <c r="F6" s="575"/>
      <c r="G6" s="575"/>
      <c r="H6" s="575"/>
      <c r="I6" s="575"/>
      <c r="J6" s="575"/>
      <c r="K6" s="575"/>
      <c r="L6" s="576"/>
      <c r="N6" s="971"/>
      <c r="O6" s="972"/>
      <c r="P6" s="973"/>
    </row>
    <row r="7" spans="2:16" ht="12.75" customHeight="1" x14ac:dyDescent="0.25">
      <c r="B7" s="574"/>
      <c r="C7" s="575"/>
      <c r="D7" s="575"/>
      <c r="E7" s="575"/>
      <c r="F7" s="575"/>
      <c r="G7" s="575"/>
      <c r="H7" s="575"/>
      <c r="I7" s="575"/>
      <c r="J7" s="575"/>
      <c r="K7" s="575"/>
      <c r="L7" s="576"/>
      <c r="N7" s="971"/>
      <c r="O7" s="972"/>
      <c r="P7" s="973"/>
    </row>
    <row r="8" spans="2:16" ht="13.5" customHeight="1" thickBot="1" x14ac:dyDescent="0.3">
      <c r="B8" s="574"/>
      <c r="C8" s="575"/>
      <c r="D8" s="575"/>
      <c r="E8" s="575"/>
      <c r="F8" s="575"/>
      <c r="G8" s="575"/>
      <c r="H8" s="575"/>
      <c r="I8" s="575"/>
      <c r="J8" s="575"/>
      <c r="K8" s="575"/>
      <c r="L8" s="576"/>
      <c r="N8" s="974"/>
      <c r="O8" s="975"/>
      <c r="P8" s="976"/>
    </row>
    <row r="9" spans="2:16" x14ac:dyDescent="0.25">
      <c r="B9" s="574"/>
      <c r="C9" s="575"/>
      <c r="D9" s="575"/>
      <c r="E9" s="575"/>
      <c r="F9" s="575"/>
      <c r="G9" s="575"/>
      <c r="H9" s="575"/>
      <c r="I9" s="575"/>
      <c r="J9" s="575"/>
      <c r="K9" s="575"/>
      <c r="L9" s="576"/>
    </row>
    <row r="10" spans="2:16" x14ac:dyDescent="0.25">
      <c r="B10" s="198"/>
      <c r="C10" s="75"/>
      <c r="D10" s="75"/>
      <c r="E10" s="75"/>
      <c r="F10" s="75"/>
      <c r="G10" s="75"/>
      <c r="H10" s="75"/>
      <c r="I10" s="75"/>
      <c r="J10" s="75"/>
      <c r="K10" s="75"/>
      <c r="L10" s="197"/>
    </row>
    <row r="11" spans="2:16" x14ac:dyDescent="0.25">
      <c r="B11" s="198"/>
      <c r="C11" s="75"/>
      <c r="D11" s="75"/>
      <c r="E11" s="75"/>
      <c r="F11" s="75"/>
      <c r="G11" s="75"/>
      <c r="H11" s="75"/>
      <c r="I11" s="75"/>
      <c r="J11" s="75"/>
      <c r="K11" s="75"/>
      <c r="L11" s="197"/>
    </row>
    <row r="12" spans="2:16" x14ac:dyDescent="0.25">
      <c r="B12" s="198"/>
      <c r="C12" s="75"/>
      <c r="D12" s="75"/>
      <c r="E12" s="75"/>
      <c r="F12" s="75"/>
      <c r="G12" s="75"/>
      <c r="H12" s="75"/>
      <c r="I12" s="75"/>
      <c r="J12" s="75"/>
      <c r="K12" s="75"/>
      <c r="L12" s="197"/>
    </row>
    <row r="13" spans="2:16" x14ac:dyDescent="0.25">
      <c r="B13" s="198"/>
      <c r="C13" s="75"/>
      <c r="D13" s="75"/>
      <c r="E13" s="75"/>
      <c r="F13" s="75"/>
      <c r="G13" s="75"/>
      <c r="H13" s="75"/>
      <c r="I13" s="75"/>
      <c r="J13" s="75"/>
      <c r="K13" s="75"/>
      <c r="L13" s="197"/>
    </row>
    <row r="14" spans="2:16" x14ac:dyDescent="0.25">
      <c r="B14" s="198"/>
      <c r="C14" s="75"/>
      <c r="D14" s="75"/>
      <c r="E14" s="75"/>
      <c r="F14" s="75"/>
      <c r="G14" s="75"/>
      <c r="H14" s="75"/>
      <c r="I14" s="75"/>
      <c r="J14" s="75"/>
      <c r="K14" s="75"/>
      <c r="L14" s="197"/>
    </row>
    <row r="15" spans="2:16" x14ac:dyDescent="0.25">
      <c r="B15" s="198"/>
      <c r="C15" s="75"/>
      <c r="D15" s="75"/>
      <c r="E15" s="75"/>
      <c r="F15" s="75"/>
      <c r="G15" s="75"/>
      <c r="H15" s="75"/>
      <c r="I15" s="75"/>
      <c r="J15" s="75"/>
      <c r="K15" s="75"/>
      <c r="L15" s="197"/>
    </row>
    <row r="16" spans="2:16" x14ac:dyDescent="0.25">
      <c r="B16" s="198"/>
      <c r="C16" s="75"/>
      <c r="D16" s="75"/>
      <c r="E16" s="75"/>
      <c r="F16" s="75"/>
      <c r="G16" s="75"/>
      <c r="H16" s="75"/>
      <c r="I16" s="75"/>
      <c r="J16" s="75"/>
      <c r="K16" s="75"/>
      <c r="L16" s="197"/>
    </row>
    <row r="17" spans="2:12" x14ac:dyDescent="0.25">
      <c r="B17" s="198"/>
      <c r="C17" s="75"/>
      <c r="D17" s="75"/>
      <c r="E17" s="75"/>
      <c r="F17" s="75"/>
      <c r="G17" s="75"/>
      <c r="H17" s="75"/>
      <c r="I17" s="75"/>
      <c r="J17" s="75"/>
      <c r="K17" s="75"/>
      <c r="L17" s="197"/>
    </row>
    <row r="18" spans="2:12" ht="7.2" customHeight="1" x14ac:dyDescent="0.25">
      <c r="B18" s="198"/>
      <c r="C18" s="75"/>
      <c r="D18" s="75"/>
      <c r="E18" s="75"/>
      <c r="F18" s="75"/>
      <c r="G18" s="75"/>
      <c r="H18" s="75"/>
      <c r="I18" s="75"/>
      <c r="J18" s="75"/>
      <c r="K18" s="75"/>
      <c r="L18" s="197"/>
    </row>
    <row r="19" spans="2:12" ht="12.75" customHeight="1" x14ac:dyDescent="0.25">
      <c r="B19" s="992" t="s">
        <v>608</v>
      </c>
      <c r="C19" s="993"/>
      <c r="D19" s="993"/>
      <c r="E19" s="993"/>
      <c r="F19" s="993"/>
      <c r="G19" s="993"/>
      <c r="H19" s="993"/>
      <c r="I19" s="993"/>
      <c r="J19" s="993"/>
      <c r="K19" s="993"/>
      <c r="L19" s="994"/>
    </row>
    <row r="20" spans="2:12" x14ac:dyDescent="0.25">
      <c r="B20" s="992"/>
      <c r="C20" s="993"/>
      <c r="D20" s="993"/>
      <c r="E20" s="993"/>
      <c r="F20" s="993"/>
      <c r="G20" s="993"/>
      <c r="H20" s="993"/>
      <c r="I20" s="993"/>
      <c r="J20" s="993"/>
      <c r="K20" s="993"/>
      <c r="L20" s="994"/>
    </row>
    <row r="21" spans="2:12" x14ac:dyDescent="0.25">
      <c r="B21" s="992"/>
      <c r="C21" s="993"/>
      <c r="D21" s="993"/>
      <c r="E21" s="993"/>
      <c r="F21" s="993"/>
      <c r="G21" s="993"/>
      <c r="H21" s="993"/>
      <c r="I21" s="993"/>
      <c r="J21" s="993"/>
      <c r="K21" s="993"/>
      <c r="L21" s="994"/>
    </row>
    <row r="22" spans="2:12" x14ac:dyDescent="0.25">
      <c r="B22" s="992"/>
      <c r="C22" s="993"/>
      <c r="D22" s="993"/>
      <c r="E22" s="993"/>
      <c r="F22" s="993"/>
      <c r="G22" s="993"/>
      <c r="H22" s="993"/>
      <c r="I22" s="993"/>
      <c r="J22" s="993"/>
      <c r="K22" s="993"/>
      <c r="L22" s="994"/>
    </row>
    <row r="23" spans="2:12" ht="16.5" customHeight="1" x14ac:dyDescent="0.25">
      <c r="B23" s="992"/>
      <c r="C23" s="993"/>
      <c r="D23" s="993"/>
      <c r="E23" s="993"/>
      <c r="F23" s="993"/>
      <c r="G23" s="993"/>
      <c r="H23" s="993"/>
      <c r="I23" s="993"/>
      <c r="J23" s="993"/>
      <c r="K23" s="993"/>
      <c r="L23" s="994"/>
    </row>
    <row r="24" spans="2:12" x14ac:dyDescent="0.25">
      <c r="B24" s="198"/>
      <c r="C24" s="75"/>
      <c r="D24" s="75"/>
      <c r="E24" s="75"/>
      <c r="F24" s="75"/>
      <c r="G24" s="75"/>
      <c r="H24" s="75"/>
      <c r="I24" s="75"/>
      <c r="J24" s="75"/>
      <c r="K24" s="75"/>
      <c r="L24" s="197"/>
    </row>
    <row r="25" spans="2:12" x14ac:dyDescent="0.25">
      <c r="B25" s="198"/>
      <c r="C25" s="75"/>
      <c r="D25" s="75"/>
      <c r="E25" s="75"/>
      <c r="F25" s="75"/>
      <c r="G25" s="75"/>
      <c r="H25" s="75"/>
      <c r="I25" s="75"/>
      <c r="J25" s="75"/>
      <c r="K25" s="75"/>
      <c r="L25" s="197"/>
    </row>
    <row r="26" spans="2:12" x14ac:dyDescent="0.25">
      <c r="B26" s="198"/>
      <c r="C26" s="75"/>
      <c r="D26" s="75"/>
      <c r="E26" s="75"/>
      <c r="F26" s="75"/>
      <c r="G26" s="75"/>
      <c r="H26" s="75"/>
      <c r="I26" s="75"/>
      <c r="J26" s="75"/>
      <c r="K26" s="75"/>
      <c r="L26" s="197"/>
    </row>
    <row r="27" spans="2:12" x14ac:dyDescent="0.25">
      <c r="B27" s="198"/>
      <c r="C27" s="75"/>
      <c r="D27" s="75"/>
      <c r="E27" s="75"/>
      <c r="F27" s="75"/>
      <c r="G27" s="75"/>
      <c r="H27" s="75"/>
      <c r="I27" s="75"/>
      <c r="J27" s="75"/>
      <c r="K27" s="75"/>
      <c r="L27" s="197"/>
    </row>
    <row r="28" spans="2:12" x14ac:dyDescent="0.25">
      <c r="B28" s="198"/>
      <c r="C28" s="75"/>
      <c r="D28" s="75"/>
      <c r="E28" s="75"/>
      <c r="F28" s="75"/>
      <c r="G28" s="75"/>
      <c r="H28" s="75"/>
      <c r="I28" s="75"/>
      <c r="J28" s="75"/>
      <c r="K28" s="75"/>
      <c r="L28" s="197"/>
    </row>
    <row r="29" spans="2:12" x14ac:dyDescent="0.25">
      <c r="B29" s="198"/>
      <c r="C29" s="75"/>
      <c r="D29" s="75"/>
      <c r="E29" s="75"/>
      <c r="F29" s="75"/>
      <c r="G29" s="75"/>
      <c r="H29" s="75"/>
      <c r="I29" s="75"/>
      <c r="J29" s="75"/>
      <c r="K29" s="75"/>
      <c r="L29" s="197"/>
    </row>
    <row r="30" spans="2:12" x14ac:dyDescent="0.25">
      <c r="B30" s="198"/>
      <c r="C30" s="75"/>
      <c r="D30" s="75"/>
      <c r="E30" s="75"/>
      <c r="F30" s="75"/>
      <c r="G30" s="75"/>
      <c r="H30" s="75"/>
      <c r="I30" s="75"/>
      <c r="J30" s="75"/>
      <c r="K30" s="75"/>
      <c r="L30" s="197"/>
    </row>
    <row r="31" spans="2:12" x14ac:dyDescent="0.25">
      <c r="B31" s="198"/>
      <c r="C31" s="75"/>
      <c r="D31" s="75"/>
      <c r="E31" s="75"/>
      <c r="F31" s="75"/>
      <c r="G31" s="75"/>
      <c r="H31" s="75"/>
      <c r="I31" s="75"/>
      <c r="J31" s="75"/>
      <c r="K31" s="75"/>
      <c r="L31" s="197"/>
    </row>
    <row r="32" spans="2:12" x14ac:dyDescent="0.25">
      <c r="B32" s="198"/>
      <c r="C32" s="75"/>
      <c r="D32" s="75"/>
      <c r="E32" s="75"/>
      <c r="F32" s="75"/>
      <c r="G32" s="75"/>
      <c r="H32" s="75"/>
      <c r="I32" s="75"/>
      <c r="J32" s="75"/>
      <c r="K32" s="75"/>
      <c r="L32" s="197"/>
    </row>
    <row r="33" spans="2:15" x14ac:dyDescent="0.25">
      <c r="B33" s="198"/>
      <c r="C33" s="75"/>
      <c r="D33" s="75"/>
      <c r="E33" s="75"/>
      <c r="F33" s="75"/>
      <c r="G33" s="75"/>
      <c r="H33" s="75"/>
      <c r="I33" s="75"/>
      <c r="J33" s="75"/>
      <c r="K33" s="75"/>
      <c r="L33" s="197"/>
    </row>
    <row r="34" spans="2:15" x14ac:dyDescent="0.25">
      <c r="B34" s="198"/>
      <c r="C34" s="75"/>
      <c r="D34" s="75"/>
      <c r="E34" s="75"/>
      <c r="F34" s="75"/>
      <c r="G34" s="75"/>
      <c r="H34" s="75"/>
      <c r="I34" s="75"/>
      <c r="J34" s="75"/>
      <c r="K34" s="75"/>
      <c r="L34" s="197"/>
    </row>
    <row r="35" spans="2:15" x14ac:dyDescent="0.25">
      <c r="B35" s="198"/>
      <c r="C35" s="75"/>
      <c r="D35" s="75"/>
      <c r="E35" s="75"/>
      <c r="F35" s="75"/>
      <c r="G35" s="75"/>
      <c r="H35" s="75"/>
      <c r="I35" s="75"/>
      <c r="J35" s="75"/>
      <c r="K35" s="75"/>
      <c r="L35" s="197"/>
    </row>
    <row r="36" spans="2:15" ht="13.2" customHeight="1" x14ac:dyDescent="0.25">
      <c r="B36" s="198"/>
      <c r="C36" s="75"/>
      <c r="D36" s="75"/>
      <c r="E36" s="75"/>
      <c r="F36" s="75"/>
      <c r="G36" s="75"/>
      <c r="H36" s="75"/>
      <c r="I36" s="75"/>
      <c r="J36" s="75"/>
      <c r="K36" s="75"/>
      <c r="L36" s="197"/>
    </row>
    <row r="37" spans="2:15" ht="13.2" customHeight="1" x14ac:dyDescent="0.25">
      <c r="B37" s="198"/>
      <c r="C37" s="75"/>
      <c r="D37" s="75"/>
      <c r="E37" s="75"/>
      <c r="F37" s="75"/>
      <c r="G37" s="75"/>
      <c r="H37" s="75"/>
      <c r="I37" s="75"/>
      <c r="J37" s="75"/>
      <c r="K37" s="75"/>
      <c r="L37" s="197"/>
    </row>
    <row r="38" spans="2:15" ht="13.2" customHeight="1" x14ac:dyDescent="0.25">
      <c r="B38" s="198"/>
      <c r="C38" s="75"/>
      <c r="D38" s="75"/>
      <c r="E38" s="75"/>
      <c r="F38" s="75"/>
      <c r="G38" s="75"/>
      <c r="H38" s="75"/>
      <c r="I38" s="75"/>
      <c r="J38" s="75"/>
      <c r="K38" s="75"/>
      <c r="L38" s="197"/>
    </row>
    <row r="39" spans="2:15" ht="6" customHeight="1" thickBot="1" x14ac:dyDescent="0.3">
      <c r="B39" s="198"/>
      <c r="C39" s="75"/>
      <c r="D39" s="75"/>
      <c r="E39" s="75"/>
      <c r="F39" s="75"/>
      <c r="G39" s="75"/>
      <c r="H39" s="75"/>
      <c r="I39" s="75"/>
      <c r="J39" s="75"/>
      <c r="K39" s="75"/>
      <c r="L39" s="197"/>
    </row>
    <row r="40" spans="2:15" ht="12.75" customHeight="1" x14ac:dyDescent="0.25">
      <c r="B40" s="992" t="s">
        <v>606</v>
      </c>
      <c r="C40" s="993"/>
      <c r="D40" s="993"/>
      <c r="E40" s="993"/>
      <c r="F40" s="993"/>
      <c r="G40" s="993"/>
      <c r="H40" s="993"/>
      <c r="I40" s="993"/>
      <c r="J40" s="993"/>
      <c r="K40" s="993"/>
      <c r="L40" s="994"/>
      <c r="N40" s="1001" t="s">
        <v>502</v>
      </c>
      <c r="O40" s="1002"/>
    </row>
    <row r="41" spans="2:15" ht="21" customHeight="1" x14ac:dyDescent="0.25">
      <c r="B41" s="992"/>
      <c r="C41" s="993"/>
      <c r="D41" s="993"/>
      <c r="E41" s="993"/>
      <c r="F41" s="993"/>
      <c r="G41" s="993"/>
      <c r="H41" s="993"/>
      <c r="I41" s="993"/>
      <c r="J41" s="993"/>
      <c r="K41" s="993"/>
      <c r="L41" s="994"/>
      <c r="N41" s="1003"/>
      <c r="O41" s="1004"/>
    </row>
    <row r="42" spans="2:15" ht="12.75" customHeight="1" x14ac:dyDescent="0.25">
      <c r="B42" s="992"/>
      <c r="C42" s="993"/>
      <c r="D42" s="993"/>
      <c r="E42" s="993"/>
      <c r="F42" s="993"/>
      <c r="G42" s="993"/>
      <c r="H42" s="993"/>
      <c r="I42" s="993"/>
      <c r="J42" s="993"/>
      <c r="K42" s="993"/>
      <c r="L42" s="994"/>
      <c r="N42" s="1003"/>
      <c r="O42" s="1004"/>
    </row>
    <row r="43" spans="2:15" ht="13.5" customHeight="1" thickBot="1" x14ac:dyDescent="0.3">
      <c r="B43" s="992"/>
      <c r="C43" s="993"/>
      <c r="D43" s="993"/>
      <c r="E43" s="993"/>
      <c r="F43" s="993"/>
      <c r="G43" s="993"/>
      <c r="H43" s="993"/>
      <c r="I43" s="993"/>
      <c r="J43" s="993"/>
      <c r="K43" s="993"/>
      <c r="L43" s="994"/>
      <c r="N43" s="1005"/>
      <c r="O43" s="1006"/>
    </row>
    <row r="44" spans="2:15" ht="13.8" thickBot="1" x14ac:dyDescent="0.3">
      <c r="B44" s="992"/>
      <c r="C44" s="993"/>
      <c r="D44" s="993"/>
      <c r="E44" s="993"/>
      <c r="F44" s="993"/>
      <c r="G44" s="993"/>
      <c r="H44" s="993"/>
      <c r="I44" s="993"/>
      <c r="J44" s="993"/>
      <c r="K44" s="993"/>
      <c r="L44" s="994"/>
    </row>
    <row r="45" spans="2:15" ht="15" customHeight="1" x14ac:dyDescent="0.25">
      <c r="B45" s="992"/>
      <c r="C45" s="993"/>
      <c r="D45" s="993"/>
      <c r="E45" s="993"/>
      <c r="F45" s="993"/>
      <c r="G45" s="993"/>
      <c r="H45" s="993"/>
      <c r="I45" s="993"/>
      <c r="J45" s="993"/>
      <c r="K45" s="993"/>
      <c r="L45" s="994"/>
      <c r="N45" s="997" t="s">
        <v>416</v>
      </c>
      <c r="O45" s="998"/>
    </row>
    <row r="46" spans="2:15" ht="48" customHeight="1" thickBot="1" x14ac:dyDescent="0.3">
      <c r="B46" s="992"/>
      <c r="C46" s="993"/>
      <c r="D46" s="993"/>
      <c r="E46" s="993"/>
      <c r="F46" s="993"/>
      <c r="G46" s="993"/>
      <c r="H46" s="993"/>
      <c r="I46" s="993"/>
      <c r="J46" s="993"/>
      <c r="K46" s="993"/>
      <c r="L46" s="994"/>
      <c r="N46" s="999"/>
      <c r="O46" s="1000"/>
    </row>
    <row r="47" spans="2:15" ht="13.2" customHeight="1" x14ac:dyDescent="0.25">
      <c r="B47" s="902"/>
      <c r="C47" s="903"/>
      <c r="D47" s="903"/>
      <c r="E47" s="903"/>
      <c r="F47" s="903"/>
      <c r="G47" s="903"/>
      <c r="H47" s="903"/>
      <c r="I47" s="903"/>
      <c r="J47" s="903"/>
      <c r="K47" s="903"/>
      <c r="L47" s="904"/>
    </row>
    <row r="48" spans="2:15" ht="12.75" customHeight="1" x14ac:dyDescent="0.25">
      <c r="B48" s="992" t="s">
        <v>413</v>
      </c>
      <c r="C48" s="993"/>
      <c r="D48" s="993"/>
      <c r="E48" s="993"/>
      <c r="F48" s="993"/>
      <c r="G48" s="993"/>
      <c r="H48" s="993"/>
      <c r="I48" s="993"/>
      <c r="J48" s="993"/>
      <c r="K48" s="993"/>
      <c r="L48" s="994"/>
    </row>
    <row r="49" spans="2:12" ht="15.75" customHeight="1" x14ac:dyDescent="0.25">
      <c r="B49" s="992"/>
      <c r="C49" s="993"/>
      <c r="D49" s="993"/>
      <c r="E49" s="993"/>
      <c r="F49" s="993"/>
      <c r="G49" s="993"/>
      <c r="H49" s="993"/>
      <c r="I49" s="993"/>
      <c r="J49" s="993"/>
      <c r="K49" s="993"/>
      <c r="L49" s="994"/>
    </row>
    <row r="50" spans="2:12" ht="15.6" customHeight="1" x14ac:dyDescent="0.25">
      <c r="B50" s="992" t="s">
        <v>414</v>
      </c>
      <c r="C50" s="993"/>
      <c r="D50" s="993"/>
      <c r="E50" s="584" t="s">
        <v>415</v>
      </c>
      <c r="F50" s="903"/>
      <c r="G50" s="857"/>
      <c r="H50" s="903"/>
      <c r="I50" s="903"/>
      <c r="J50" s="903"/>
      <c r="K50" s="903"/>
      <c r="L50" s="904"/>
    </row>
    <row r="51" spans="2:12" ht="11.4" customHeight="1" thickBot="1" x14ac:dyDescent="0.3">
      <c r="B51" s="585"/>
      <c r="C51" s="586"/>
      <c r="D51" s="586"/>
      <c r="E51" s="586"/>
      <c r="F51" s="586"/>
      <c r="G51" s="586"/>
      <c r="H51" s="586"/>
      <c r="I51" s="586"/>
      <c r="J51" s="586"/>
      <c r="K51" s="586"/>
      <c r="L51" s="587"/>
    </row>
    <row r="52" spans="2:12" x14ac:dyDescent="0.25">
      <c r="B52" s="583"/>
      <c r="C52" s="583"/>
      <c r="D52" s="583"/>
      <c r="E52" s="583"/>
      <c r="F52" s="583"/>
      <c r="G52" s="583"/>
      <c r="H52" s="583"/>
      <c r="I52" s="583"/>
      <c r="J52" s="583"/>
      <c r="K52" s="583"/>
      <c r="L52" s="583"/>
    </row>
    <row r="53" spans="2:12" x14ac:dyDescent="0.25">
      <c r="B53" s="583"/>
      <c r="C53" s="583"/>
      <c r="D53" s="583"/>
      <c r="E53" s="583"/>
      <c r="F53" s="583"/>
      <c r="G53" s="583"/>
      <c r="H53" s="583"/>
      <c r="I53" s="583"/>
      <c r="J53" s="583"/>
      <c r="K53" s="583"/>
      <c r="L53" s="583"/>
    </row>
    <row r="54" spans="2:12" x14ac:dyDescent="0.25">
      <c r="B54" s="583"/>
      <c r="C54" s="583"/>
      <c r="D54" s="583"/>
      <c r="E54" s="583"/>
      <c r="F54" s="583"/>
      <c r="G54" s="583"/>
      <c r="H54" s="583"/>
      <c r="I54" s="583"/>
      <c r="J54" s="583"/>
      <c r="K54" s="583"/>
      <c r="L54" s="583"/>
    </row>
  </sheetData>
  <mergeCells count="8">
    <mergeCell ref="B48:L49"/>
    <mergeCell ref="B50:D50"/>
    <mergeCell ref="N4:P8"/>
    <mergeCell ref="B3:L5"/>
    <mergeCell ref="N45:O46"/>
    <mergeCell ref="B19:L23"/>
    <mergeCell ref="B40:L46"/>
    <mergeCell ref="N40:O43"/>
  </mergeCells>
  <hyperlinks>
    <hyperlink ref="N4" location="'TABLE OF CONTENTS'!A1" display="Table of Contents"/>
    <hyperlink ref="E50" r:id="rId1"/>
    <hyperlink ref="N45" location="Timeline!A1" display="Timeline"/>
    <hyperlink ref="N45:O46" location="Timeline!A1" display="Go to Timeline"/>
    <hyperlink ref="N40:N43" location="CASE_COUNTS!C10" display="View Case Counts"/>
  </hyperlinks>
  <pageMargins left="0.7" right="0.7" top="0.75" bottom="0.75" header="0.3" footer="0.3"/>
  <pageSetup orientation="portrait" horizontalDpi="4294967294"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1:Q59"/>
  <sheetViews>
    <sheetView showGridLines="0" showRowColHeaders="0" zoomScale="130" zoomScaleNormal="130" workbookViewId="0"/>
  </sheetViews>
  <sheetFormatPr defaultRowHeight="13.2" x14ac:dyDescent="0.25"/>
  <cols>
    <col min="1" max="1" width="2.6640625" customWidth="1"/>
    <col min="2" max="2" width="2.5546875" customWidth="1"/>
    <col min="3" max="3" width="6.5546875" customWidth="1"/>
    <col min="14" max="14" width="2.6640625" customWidth="1"/>
    <col min="15" max="15" width="7.109375" customWidth="1"/>
    <col min="16" max="16" width="7" customWidth="1"/>
    <col min="17" max="17" width="2.6640625" customWidth="1"/>
  </cols>
  <sheetData>
    <row r="1" spans="2:17" ht="13.8" thickBot="1" x14ac:dyDescent="0.3"/>
    <row r="2" spans="2:17" ht="16.2" customHeight="1" thickBot="1" x14ac:dyDescent="0.3">
      <c r="B2" s="167" t="s">
        <v>607</v>
      </c>
      <c r="C2" s="921"/>
      <c r="D2" s="168"/>
      <c r="E2" s="169"/>
      <c r="F2" s="169"/>
      <c r="G2" s="169"/>
      <c r="H2" s="169"/>
      <c r="I2" s="169"/>
      <c r="J2" s="169"/>
      <c r="K2" s="169"/>
      <c r="L2" s="169"/>
      <c r="M2" s="573"/>
      <c r="O2" s="968" t="s">
        <v>401</v>
      </c>
      <c r="P2" s="969"/>
      <c r="Q2" s="970"/>
    </row>
    <row r="3" spans="2:17" ht="22.2" customHeight="1" x14ac:dyDescent="0.25">
      <c r="B3" s="977" t="s">
        <v>610</v>
      </c>
      <c r="C3" s="995"/>
      <c r="D3" s="995"/>
      <c r="E3" s="995"/>
      <c r="F3" s="995"/>
      <c r="G3" s="995"/>
      <c r="H3" s="995"/>
      <c r="I3" s="995"/>
      <c r="J3" s="995"/>
      <c r="K3" s="995"/>
      <c r="L3" s="995"/>
      <c r="M3" s="996"/>
      <c r="O3" s="971"/>
      <c r="P3" s="972"/>
      <c r="Q3" s="973"/>
    </row>
    <row r="4" spans="2:17" ht="25.2" customHeight="1" thickBot="1" x14ac:dyDescent="0.3">
      <c r="B4" s="992"/>
      <c r="C4" s="993"/>
      <c r="D4" s="993"/>
      <c r="E4" s="993"/>
      <c r="F4" s="993"/>
      <c r="G4" s="993"/>
      <c r="H4" s="993"/>
      <c r="I4" s="993"/>
      <c r="J4" s="993"/>
      <c r="K4" s="993"/>
      <c r="L4" s="993"/>
      <c r="M4" s="994"/>
      <c r="O4" s="974"/>
      <c r="P4" s="975"/>
      <c r="Q4" s="976"/>
    </row>
    <row r="5" spans="2:17" ht="30" customHeight="1" thickBot="1" x14ac:dyDescent="0.3">
      <c r="B5" s="992"/>
      <c r="C5" s="993"/>
      <c r="D5" s="993"/>
      <c r="E5" s="993"/>
      <c r="F5" s="993"/>
      <c r="G5" s="993"/>
      <c r="H5" s="993"/>
      <c r="I5" s="993"/>
      <c r="J5" s="993"/>
      <c r="K5" s="993"/>
      <c r="L5" s="993"/>
      <c r="M5" s="994"/>
    </row>
    <row r="6" spans="2:17" ht="7.95" customHeight="1" x14ac:dyDescent="0.25">
      <c r="B6" s="899"/>
      <c r="C6" s="906"/>
      <c r="D6" s="900"/>
      <c r="E6" s="900"/>
      <c r="F6" s="900"/>
      <c r="G6" s="900"/>
      <c r="H6" s="900"/>
      <c r="I6" s="900"/>
      <c r="J6" s="900"/>
      <c r="K6" s="900"/>
      <c r="L6" s="900"/>
      <c r="M6" s="901"/>
      <c r="O6" s="1007" t="s">
        <v>609</v>
      </c>
      <c r="P6" s="1008"/>
      <c r="Q6" s="1009"/>
    </row>
    <row r="7" spans="2:17" ht="12.75" customHeight="1" x14ac:dyDescent="0.25">
      <c r="B7" s="899"/>
      <c r="C7" s="906"/>
      <c r="D7" s="900"/>
      <c r="E7" s="900"/>
      <c r="F7" s="900"/>
      <c r="G7" s="900"/>
      <c r="H7" s="900"/>
      <c r="I7" s="900"/>
      <c r="J7" s="900"/>
      <c r="K7" s="900"/>
      <c r="L7" s="900"/>
      <c r="M7" s="901"/>
      <c r="O7" s="1010"/>
      <c r="P7" s="1011"/>
      <c r="Q7" s="1012"/>
    </row>
    <row r="8" spans="2:17" ht="12.75" customHeight="1" x14ac:dyDescent="0.25">
      <c r="B8" s="992" t="s">
        <v>626</v>
      </c>
      <c r="C8" s="993"/>
      <c r="D8" s="993"/>
      <c r="E8" s="993"/>
      <c r="F8" s="993"/>
      <c r="G8" s="993"/>
      <c r="H8" s="993"/>
      <c r="I8" s="993"/>
      <c r="J8" s="993"/>
      <c r="K8" s="993"/>
      <c r="L8" s="993"/>
      <c r="M8" s="994"/>
      <c r="O8" s="1010"/>
      <c r="P8" s="1011"/>
      <c r="Q8" s="1012"/>
    </row>
    <row r="9" spans="2:17" ht="13.2" customHeight="1" x14ac:dyDescent="0.25">
      <c r="B9" s="992"/>
      <c r="C9" s="993"/>
      <c r="D9" s="993"/>
      <c r="E9" s="993"/>
      <c r="F9" s="993"/>
      <c r="G9" s="993"/>
      <c r="H9" s="993"/>
      <c r="I9" s="993"/>
      <c r="J9" s="993"/>
      <c r="K9" s="993"/>
      <c r="L9" s="993"/>
      <c r="M9" s="994"/>
      <c r="O9" s="1010"/>
      <c r="P9" s="1011"/>
      <c r="Q9" s="1012"/>
    </row>
    <row r="10" spans="2:17" ht="13.8" thickBot="1" x14ac:dyDescent="0.3">
      <c r="B10" s="992"/>
      <c r="C10" s="993"/>
      <c r="D10" s="993"/>
      <c r="E10" s="993"/>
      <c r="F10" s="993"/>
      <c r="G10" s="993"/>
      <c r="H10" s="993"/>
      <c r="I10" s="993"/>
      <c r="J10" s="993"/>
      <c r="K10" s="993"/>
      <c r="L10" s="993"/>
      <c r="M10" s="994"/>
      <c r="O10" s="1013"/>
      <c r="P10" s="1014"/>
      <c r="Q10" s="1015"/>
    </row>
    <row r="11" spans="2:17" x14ac:dyDescent="0.25">
      <c r="B11" s="992"/>
      <c r="C11" s="993"/>
      <c r="D11" s="993"/>
      <c r="E11" s="993"/>
      <c r="F11" s="993"/>
      <c r="G11" s="993"/>
      <c r="H11" s="993"/>
      <c r="I11" s="993"/>
      <c r="J11" s="993"/>
      <c r="K11" s="993"/>
      <c r="L11" s="993"/>
      <c r="M11" s="994"/>
    </row>
    <row r="12" spans="2:17" ht="16.5" customHeight="1" x14ac:dyDescent="0.25">
      <c r="B12" s="992"/>
      <c r="C12" s="993"/>
      <c r="D12" s="993"/>
      <c r="E12" s="993"/>
      <c r="F12" s="993"/>
      <c r="G12" s="993"/>
      <c r="H12" s="993"/>
      <c r="I12" s="993"/>
      <c r="J12" s="993"/>
      <c r="K12" s="993"/>
      <c r="L12" s="993"/>
      <c r="M12" s="994"/>
    </row>
    <row r="13" spans="2:17" x14ac:dyDescent="0.25">
      <c r="B13" s="198"/>
      <c r="C13" s="75"/>
      <c r="D13" s="75"/>
      <c r="E13" s="75"/>
      <c r="F13" s="75"/>
      <c r="G13" s="75"/>
      <c r="H13" s="75"/>
      <c r="I13" s="75"/>
      <c r="J13" s="75"/>
      <c r="K13" s="75"/>
      <c r="L13" s="75"/>
      <c r="M13" s="197"/>
    </row>
    <row r="14" spans="2:17" x14ac:dyDescent="0.25">
      <c r="B14" s="198"/>
      <c r="C14" s="922" t="s">
        <v>613</v>
      </c>
      <c r="D14" s="922"/>
      <c r="E14" s="922"/>
      <c r="F14" s="75"/>
      <c r="G14" s="75"/>
      <c r="H14" s="75"/>
      <c r="I14" s="75"/>
      <c r="J14" s="75"/>
      <c r="K14" s="75"/>
      <c r="L14" s="75"/>
      <c r="M14" s="197"/>
    </row>
    <row r="15" spans="2:17" x14ac:dyDescent="0.25">
      <c r="B15" s="198"/>
      <c r="C15" s="993" t="s">
        <v>627</v>
      </c>
      <c r="D15" s="981"/>
      <c r="E15" s="981"/>
      <c r="F15" s="981"/>
      <c r="G15" s="75"/>
      <c r="H15" s="75"/>
      <c r="I15" s="75"/>
      <c r="J15" s="75"/>
      <c r="K15" s="75"/>
      <c r="L15" s="75"/>
      <c r="M15" s="197"/>
    </row>
    <row r="16" spans="2:17" x14ac:dyDescent="0.25">
      <c r="B16" s="198"/>
      <c r="C16" s="981"/>
      <c r="D16" s="981"/>
      <c r="E16" s="981"/>
      <c r="F16" s="981"/>
      <c r="G16" s="75"/>
      <c r="H16" s="75"/>
      <c r="I16" s="75"/>
      <c r="J16" s="75"/>
      <c r="K16" s="75"/>
      <c r="L16" s="75"/>
      <c r="M16" s="197"/>
    </row>
    <row r="17" spans="2:13" x14ac:dyDescent="0.25">
      <c r="B17" s="198"/>
      <c r="C17" s="981"/>
      <c r="D17" s="981"/>
      <c r="E17" s="981"/>
      <c r="F17" s="981"/>
      <c r="G17" s="75"/>
      <c r="H17" s="75"/>
      <c r="I17" s="75"/>
      <c r="J17" s="75"/>
      <c r="K17" s="75"/>
      <c r="L17" s="75"/>
      <c r="M17" s="197"/>
    </row>
    <row r="18" spans="2:13" x14ac:dyDescent="0.25">
      <c r="B18" s="198"/>
      <c r="C18" s="981"/>
      <c r="D18" s="981"/>
      <c r="E18" s="981"/>
      <c r="F18" s="981"/>
      <c r="G18" s="75"/>
      <c r="H18" s="75"/>
      <c r="I18" s="75"/>
      <c r="J18" s="75"/>
      <c r="K18" s="75"/>
      <c r="L18" s="75"/>
      <c r="M18" s="197"/>
    </row>
    <row r="19" spans="2:13" x14ac:dyDescent="0.25">
      <c r="B19" s="198"/>
      <c r="C19" s="981"/>
      <c r="D19" s="981"/>
      <c r="E19" s="981"/>
      <c r="F19" s="981"/>
      <c r="G19" s="75"/>
      <c r="H19" s="75"/>
      <c r="I19" s="75"/>
      <c r="J19" s="75"/>
      <c r="K19" s="75"/>
      <c r="L19" s="75"/>
      <c r="M19" s="197"/>
    </row>
    <row r="20" spans="2:13" x14ac:dyDescent="0.25">
      <c r="B20" s="198"/>
      <c r="C20" s="981"/>
      <c r="D20" s="981"/>
      <c r="E20" s="981"/>
      <c r="F20" s="981"/>
      <c r="G20" s="75"/>
      <c r="H20" s="75"/>
      <c r="I20" s="75"/>
      <c r="J20" s="75"/>
      <c r="K20" s="75"/>
      <c r="L20" s="75"/>
      <c r="M20" s="197"/>
    </row>
    <row r="21" spans="2:13" x14ac:dyDescent="0.25">
      <c r="B21" s="198"/>
      <c r="C21" s="981"/>
      <c r="D21" s="981"/>
      <c r="E21" s="981"/>
      <c r="F21" s="981"/>
      <c r="G21" s="75"/>
      <c r="H21" s="75"/>
      <c r="I21" s="75"/>
      <c r="J21" s="75"/>
      <c r="K21" s="75"/>
      <c r="L21" s="75"/>
      <c r="M21" s="197"/>
    </row>
    <row r="22" spans="2:13" x14ac:dyDescent="0.25">
      <c r="B22" s="198"/>
      <c r="C22" s="981"/>
      <c r="D22" s="981"/>
      <c r="E22" s="981"/>
      <c r="F22" s="981"/>
      <c r="G22" s="75"/>
      <c r="H22" s="75"/>
      <c r="I22" s="75"/>
      <c r="J22" s="75"/>
      <c r="K22" s="75"/>
      <c r="L22" s="75"/>
      <c r="M22" s="197"/>
    </row>
    <row r="23" spans="2:13" x14ac:dyDescent="0.25">
      <c r="B23" s="198"/>
      <c r="C23" s="981"/>
      <c r="D23" s="981"/>
      <c r="E23" s="981"/>
      <c r="F23" s="981"/>
      <c r="G23" s="75"/>
      <c r="H23" s="75"/>
      <c r="I23" s="75"/>
      <c r="J23" s="75"/>
      <c r="K23" s="75"/>
      <c r="L23" s="75"/>
      <c r="M23" s="197"/>
    </row>
    <row r="24" spans="2:13" x14ac:dyDescent="0.25">
      <c r="B24" s="198"/>
      <c r="C24" s="981"/>
      <c r="D24" s="981"/>
      <c r="E24" s="981"/>
      <c r="F24" s="981"/>
      <c r="G24" s="75"/>
      <c r="H24" s="75"/>
      <c r="I24" s="75"/>
      <c r="J24" s="75"/>
      <c r="K24" s="75"/>
      <c r="L24" s="75"/>
      <c r="M24" s="197"/>
    </row>
    <row r="25" spans="2:13" ht="7.2" customHeight="1" x14ac:dyDescent="0.25">
      <c r="B25" s="198"/>
      <c r="C25" s="75"/>
      <c r="D25" s="75"/>
      <c r="E25" s="75"/>
      <c r="F25" s="75"/>
      <c r="G25" s="75"/>
      <c r="H25" s="75"/>
      <c r="I25" s="75"/>
      <c r="J25" s="75"/>
      <c r="K25" s="75"/>
      <c r="L25" s="75"/>
      <c r="M25" s="197"/>
    </row>
    <row r="26" spans="2:13" ht="9.6" customHeight="1" x14ac:dyDescent="0.25">
      <c r="B26" s="198"/>
      <c r="C26" s="75"/>
      <c r="D26" s="75"/>
      <c r="E26" s="75"/>
      <c r="F26" s="75"/>
      <c r="G26" s="75"/>
      <c r="H26" s="75"/>
      <c r="I26" s="75"/>
      <c r="J26" s="75"/>
      <c r="K26" s="75"/>
      <c r="L26" s="75"/>
      <c r="M26" s="197"/>
    </row>
    <row r="27" spans="2:13" x14ac:dyDescent="0.25">
      <c r="B27" s="198"/>
      <c r="C27" s="922" t="s">
        <v>614</v>
      </c>
      <c r="D27" s="75"/>
      <c r="E27" s="75"/>
      <c r="F27" s="75"/>
      <c r="G27" s="75"/>
      <c r="H27" s="75"/>
      <c r="I27" s="75"/>
      <c r="J27" s="75"/>
      <c r="K27" s="75"/>
      <c r="L27" s="75"/>
      <c r="M27" s="197"/>
    </row>
    <row r="28" spans="2:13" x14ac:dyDescent="0.25">
      <c r="B28" s="198"/>
      <c r="C28" s="993" t="s">
        <v>616</v>
      </c>
      <c r="D28" s="981"/>
      <c r="E28" s="981"/>
      <c r="F28" s="981"/>
      <c r="G28" s="75"/>
      <c r="H28" s="75"/>
      <c r="I28" s="75"/>
      <c r="J28" s="75"/>
      <c r="K28" s="75"/>
      <c r="L28" s="75"/>
      <c r="M28" s="197"/>
    </row>
    <row r="29" spans="2:13" x14ac:dyDescent="0.25">
      <c r="B29" s="198"/>
      <c r="C29" s="981"/>
      <c r="D29" s="981"/>
      <c r="E29" s="981"/>
      <c r="F29" s="981"/>
      <c r="G29" s="75"/>
      <c r="H29" s="75"/>
      <c r="I29" s="75"/>
      <c r="J29" s="75"/>
      <c r="K29" s="75"/>
      <c r="L29" s="75"/>
      <c r="M29" s="197"/>
    </row>
    <row r="30" spans="2:13" x14ac:dyDescent="0.25">
      <c r="B30" s="198"/>
      <c r="C30" s="981"/>
      <c r="D30" s="981"/>
      <c r="E30" s="981"/>
      <c r="F30" s="981"/>
      <c r="G30" s="75"/>
      <c r="H30" s="75"/>
      <c r="I30" s="75"/>
      <c r="J30" s="75"/>
      <c r="K30" s="75"/>
      <c r="L30" s="75"/>
      <c r="M30" s="197"/>
    </row>
    <row r="31" spans="2:13" x14ac:dyDescent="0.25">
      <c r="B31" s="198"/>
      <c r="C31" s="981"/>
      <c r="D31" s="981"/>
      <c r="E31" s="981"/>
      <c r="F31" s="981"/>
      <c r="G31" s="75"/>
      <c r="H31" s="75"/>
      <c r="I31" s="75"/>
      <c r="J31" s="75"/>
      <c r="K31" s="75"/>
      <c r="L31" s="75"/>
      <c r="M31" s="197"/>
    </row>
    <row r="32" spans="2:13" x14ac:dyDescent="0.25">
      <c r="B32" s="198"/>
      <c r="C32" s="981"/>
      <c r="D32" s="981"/>
      <c r="E32" s="981"/>
      <c r="F32" s="981"/>
      <c r="G32" s="75"/>
      <c r="H32" s="75"/>
      <c r="I32" s="75"/>
      <c r="J32" s="75"/>
      <c r="K32" s="75"/>
      <c r="L32" s="75"/>
      <c r="M32" s="197"/>
    </row>
    <row r="33" spans="2:13" x14ac:dyDescent="0.25">
      <c r="B33" s="198"/>
      <c r="C33" s="981"/>
      <c r="D33" s="981"/>
      <c r="E33" s="981"/>
      <c r="F33" s="981"/>
      <c r="G33" s="75"/>
      <c r="H33" s="75"/>
      <c r="I33" s="75"/>
      <c r="J33" s="75"/>
      <c r="K33" s="75"/>
      <c r="L33" s="75"/>
      <c r="M33" s="197"/>
    </row>
    <row r="34" spans="2:13" x14ac:dyDescent="0.25">
      <c r="B34" s="198"/>
      <c r="C34" s="981"/>
      <c r="D34" s="981"/>
      <c r="E34" s="981"/>
      <c r="F34" s="981"/>
      <c r="G34" s="75"/>
      <c r="H34" s="75"/>
      <c r="I34" s="75"/>
      <c r="J34" s="75"/>
      <c r="K34" s="75"/>
      <c r="L34" s="75"/>
      <c r="M34" s="197"/>
    </row>
    <row r="35" spans="2:13" x14ac:dyDescent="0.25">
      <c r="B35" s="198"/>
      <c r="C35" s="981"/>
      <c r="D35" s="981"/>
      <c r="E35" s="981"/>
      <c r="F35" s="981"/>
      <c r="G35" s="75"/>
      <c r="H35" s="75"/>
      <c r="I35" s="75"/>
      <c r="J35" s="75"/>
      <c r="K35" s="75"/>
      <c r="L35" s="75"/>
      <c r="M35" s="197"/>
    </row>
    <row r="36" spans="2:13" x14ac:dyDescent="0.25">
      <c r="B36" s="198"/>
      <c r="C36" s="75"/>
      <c r="D36" s="75"/>
      <c r="E36" s="75"/>
      <c r="F36" s="75"/>
      <c r="G36" s="75"/>
      <c r="H36" s="75"/>
      <c r="I36" s="75"/>
      <c r="J36" s="75"/>
      <c r="K36" s="75"/>
      <c r="L36" s="75"/>
      <c r="M36" s="197"/>
    </row>
    <row r="37" spans="2:13" x14ac:dyDescent="0.25">
      <c r="B37" s="198"/>
      <c r="C37" s="75"/>
      <c r="D37" s="75"/>
      <c r="E37" s="75"/>
      <c r="F37" s="75"/>
      <c r="G37" s="75"/>
      <c r="H37" s="75"/>
      <c r="I37" s="75"/>
      <c r="J37" s="75"/>
      <c r="K37" s="75"/>
      <c r="L37" s="75"/>
      <c r="M37" s="197"/>
    </row>
    <row r="38" spans="2:13" ht="10.95" customHeight="1" x14ac:dyDescent="0.25">
      <c r="B38" s="198"/>
      <c r="C38" s="75"/>
      <c r="D38" s="75"/>
      <c r="E38" s="75"/>
      <c r="F38" s="75"/>
      <c r="G38" s="75"/>
      <c r="H38" s="75"/>
      <c r="I38" s="75"/>
      <c r="J38" s="75"/>
      <c r="K38" s="75"/>
      <c r="L38" s="75"/>
      <c r="M38" s="197"/>
    </row>
    <row r="39" spans="2:13" ht="12.75" customHeight="1" x14ac:dyDescent="0.25">
      <c r="B39" s="992" t="s">
        <v>615</v>
      </c>
      <c r="C39" s="993"/>
      <c r="D39" s="993"/>
      <c r="E39" s="993"/>
      <c r="F39" s="993"/>
      <c r="G39" s="993"/>
      <c r="H39" s="993"/>
      <c r="I39" s="993"/>
      <c r="J39" s="993"/>
      <c r="K39" s="993"/>
      <c r="L39" s="993"/>
      <c r="M39" s="994"/>
    </row>
    <row r="40" spans="2:13" ht="29.25" customHeight="1" x14ac:dyDescent="0.25">
      <c r="B40" s="992"/>
      <c r="C40" s="993"/>
      <c r="D40" s="993"/>
      <c r="E40" s="993"/>
      <c r="F40" s="993"/>
      <c r="G40" s="993"/>
      <c r="H40" s="993"/>
      <c r="I40" s="993"/>
      <c r="J40" s="993"/>
      <c r="K40" s="993"/>
      <c r="L40" s="993"/>
      <c r="M40" s="994"/>
    </row>
    <row r="41" spans="2:13" ht="12.75" customHeight="1" x14ac:dyDescent="0.25">
      <c r="B41" s="992"/>
      <c r="C41" s="993"/>
      <c r="D41" s="993"/>
      <c r="E41" s="993"/>
      <c r="F41" s="993"/>
      <c r="G41" s="993"/>
      <c r="H41" s="993"/>
      <c r="I41" s="993"/>
      <c r="J41" s="993"/>
      <c r="K41" s="993"/>
      <c r="L41" s="993"/>
      <c r="M41" s="994"/>
    </row>
    <row r="42" spans="2:13" ht="13.5" customHeight="1" x14ac:dyDescent="0.25">
      <c r="B42" s="992"/>
      <c r="C42" s="993"/>
      <c r="D42" s="993"/>
      <c r="E42" s="993"/>
      <c r="F42" s="993"/>
      <c r="G42" s="993"/>
      <c r="H42" s="993"/>
      <c r="I42" s="993"/>
      <c r="J42" s="993"/>
      <c r="K42" s="993"/>
      <c r="L42" s="993"/>
      <c r="M42" s="994"/>
    </row>
    <row r="43" spans="2:13" x14ac:dyDescent="0.25">
      <c r="B43" s="992"/>
      <c r="C43" s="993"/>
      <c r="D43" s="993"/>
      <c r="E43" s="993"/>
      <c r="F43" s="993"/>
      <c r="G43" s="993"/>
      <c r="H43" s="993"/>
      <c r="I43" s="993"/>
      <c r="J43" s="993"/>
      <c r="K43" s="993"/>
      <c r="L43" s="993"/>
      <c r="M43" s="994"/>
    </row>
    <row r="44" spans="2:13" ht="15" customHeight="1" x14ac:dyDescent="0.25">
      <c r="B44" s="992"/>
      <c r="C44" s="993"/>
      <c r="D44" s="993"/>
      <c r="E44" s="993"/>
      <c r="F44" s="993"/>
      <c r="G44" s="993"/>
      <c r="H44" s="993"/>
      <c r="I44" s="993"/>
      <c r="J44" s="993"/>
      <c r="K44" s="993"/>
      <c r="L44" s="993"/>
      <c r="M44" s="994"/>
    </row>
    <row r="45" spans="2:13" ht="11.25" customHeight="1" x14ac:dyDescent="0.25">
      <c r="B45" s="992"/>
      <c r="C45" s="993"/>
      <c r="D45" s="993"/>
      <c r="E45" s="993"/>
      <c r="F45" s="993"/>
      <c r="G45" s="993"/>
      <c r="H45" s="993"/>
      <c r="I45" s="993"/>
      <c r="J45" s="993"/>
      <c r="K45" s="993"/>
      <c r="L45" s="993"/>
      <c r="M45" s="994"/>
    </row>
    <row r="46" spans="2:13" ht="8.25" customHeight="1" x14ac:dyDescent="0.25">
      <c r="B46" s="907"/>
      <c r="C46" s="908"/>
      <c r="D46" s="908"/>
      <c r="E46" s="908"/>
      <c r="F46" s="908"/>
      <c r="G46" s="908"/>
      <c r="H46" s="908"/>
      <c r="I46" s="908"/>
      <c r="J46" s="908"/>
      <c r="K46" s="908"/>
      <c r="L46" s="908"/>
      <c r="M46" s="909"/>
    </row>
    <row r="47" spans="2:13" ht="12.75" customHeight="1" x14ac:dyDescent="0.25">
      <c r="B47" s="992" t="s">
        <v>617</v>
      </c>
      <c r="C47" s="993"/>
      <c r="D47" s="993"/>
      <c r="E47" s="993"/>
      <c r="F47" s="993"/>
      <c r="G47" s="993"/>
      <c r="H47" s="993"/>
      <c r="I47" s="993"/>
      <c r="J47" s="993"/>
      <c r="K47" s="993"/>
      <c r="L47" s="993"/>
      <c r="M47" s="994"/>
    </row>
    <row r="48" spans="2:13" ht="29.25" customHeight="1" x14ac:dyDescent="0.25">
      <c r="B48" s="992"/>
      <c r="C48" s="993"/>
      <c r="D48" s="993"/>
      <c r="E48" s="993"/>
      <c r="F48" s="993"/>
      <c r="G48" s="993"/>
      <c r="H48" s="993"/>
      <c r="I48" s="993"/>
      <c r="J48" s="993"/>
      <c r="K48" s="993"/>
      <c r="L48" s="993"/>
      <c r="M48" s="994"/>
    </row>
    <row r="49" spans="2:13" ht="12.75" customHeight="1" x14ac:dyDescent="0.25">
      <c r="B49" s="992"/>
      <c r="C49" s="993"/>
      <c r="D49" s="993"/>
      <c r="E49" s="993"/>
      <c r="F49" s="993"/>
      <c r="G49" s="993"/>
      <c r="H49" s="993"/>
      <c r="I49" s="993"/>
      <c r="J49" s="993"/>
      <c r="K49" s="993"/>
      <c r="L49" s="993"/>
      <c r="M49" s="994"/>
    </row>
    <row r="50" spans="2:13" ht="13.5" customHeight="1" x14ac:dyDescent="0.25">
      <c r="B50" s="992"/>
      <c r="C50" s="993"/>
      <c r="D50" s="993"/>
      <c r="E50" s="993"/>
      <c r="F50" s="993"/>
      <c r="G50" s="993"/>
      <c r="H50" s="993"/>
      <c r="I50" s="993"/>
      <c r="J50" s="993"/>
      <c r="K50" s="993"/>
      <c r="L50" s="993"/>
      <c r="M50" s="994"/>
    </row>
    <row r="51" spans="2:13" x14ac:dyDescent="0.25">
      <c r="B51" s="992"/>
      <c r="C51" s="993"/>
      <c r="D51" s="993"/>
      <c r="E51" s="993"/>
      <c r="F51" s="993"/>
      <c r="G51" s="993"/>
      <c r="H51" s="993"/>
      <c r="I51" s="993"/>
      <c r="J51" s="993"/>
      <c r="K51" s="993"/>
      <c r="L51" s="993"/>
      <c r="M51" s="994"/>
    </row>
    <row r="52" spans="2:13" ht="17.399999999999999" customHeight="1" x14ac:dyDescent="0.25">
      <c r="B52" s="992"/>
      <c r="C52" s="993"/>
      <c r="D52" s="993"/>
      <c r="E52" s="993"/>
      <c r="F52" s="993"/>
      <c r="G52" s="993"/>
      <c r="H52" s="993"/>
      <c r="I52" s="993"/>
      <c r="J52" s="993"/>
      <c r="K52" s="993"/>
      <c r="L52" s="993"/>
      <c r="M52" s="994"/>
    </row>
    <row r="53" spans="2:13" ht="12.75" customHeight="1" x14ac:dyDescent="0.25">
      <c r="B53" s="992" t="s">
        <v>628</v>
      </c>
      <c r="C53" s="993"/>
      <c r="D53" s="993"/>
      <c r="E53" s="993"/>
      <c r="F53" s="993"/>
      <c r="G53" s="993"/>
      <c r="H53" s="993"/>
      <c r="I53" s="993"/>
      <c r="J53" s="993"/>
      <c r="K53" s="993"/>
      <c r="L53" s="993"/>
      <c r="M53" s="994"/>
    </row>
    <row r="54" spans="2:13" ht="30" customHeight="1" x14ac:dyDescent="0.25">
      <c r="B54" s="992"/>
      <c r="C54" s="993"/>
      <c r="D54" s="993"/>
      <c r="E54" s="993"/>
      <c r="F54" s="993"/>
      <c r="G54" s="993"/>
      <c r="H54" s="993"/>
      <c r="I54" s="993"/>
      <c r="J54" s="993"/>
      <c r="K54" s="993"/>
      <c r="L54" s="993"/>
      <c r="M54" s="994"/>
    </row>
    <row r="55" spans="2:13" ht="18" customHeight="1" x14ac:dyDescent="0.25">
      <c r="B55" s="992" t="s">
        <v>618</v>
      </c>
      <c r="C55" s="993"/>
      <c r="D55" s="993"/>
      <c r="E55" s="993"/>
      <c r="F55" s="584" t="s">
        <v>415</v>
      </c>
      <c r="G55" s="903"/>
      <c r="H55" s="857"/>
      <c r="I55" s="903"/>
      <c r="J55" s="903"/>
      <c r="K55" s="903"/>
      <c r="L55" s="903"/>
      <c r="M55" s="904"/>
    </row>
    <row r="56" spans="2:13" ht="6" customHeight="1" thickBot="1" x14ac:dyDescent="0.3">
      <c r="B56" s="585"/>
      <c r="C56" s="586"/>
      <c r="D56" s="586"/>
      <c r="E56" s="586"/>
      <c r="F56" s="586"/>
      <c r="G56" s="586"/>
      <c r="H56" s="586"/>
      <c r="I56" s="586"/>
      <c r="J56" s="586"/>
      <c r="K56" s="586"/>
      <c r="L56" s="586"/>
      <c r="M56" s="587"/>
    </row>
    <row r="57" spans="2:13" x14ac:dyDescent="0.25">
      <c r="B57" s="905"/>
      <c r="C57" s="910"/>
      <c r="D57" s="905"/>
      <c r="E57" s="905"/>
      <c r="F57" s="905"/>
      <c r="G57" s="905"/>
      <c r="H57" s="905"/>
      <c r="I57" s="905"/>
      <c r="J57" s="905"/>
      <c r="K57" s="905"/>
      <c r="L57" s="905"/>
      <c r="M57" s="905"/>
    </row>
    <row r="58" spans="2:13" x14ac:dyDescent="0.25">
      <c r="B58" s="905"/>
      <c r="C58" s="910"/>
      <c r="D58" s="905"/>
      <c r="E58" s="905"/>
      <c r="F58" s="905"/>
      <c r="G58" s="905"/>
      <c r="H58" s="905"/>
      <c r="I58" s="905"/>
      <c r="J58" s="905"/>
      <c r="K58" s="905"/>
      <c r="L58" s="905"/>
      <c r="M58" s="905"/>
    </row>
    <row r="59" spans="2:13" x14ac:dyDescent="0.25">
      <c r="B59" s="905"/>
      <c r="C59" s="910"/>
      <c r="D59" s="905"/>
      <c r="E59" s="905"/>
      <c r="F59" s="905"/>
      <c r="G59" s="905"/>
      <c r="H59" s="905"/>
      <c r="I59" s="905"/>
      <c r="J59" s="905"/>
      <c r="K59" s="905"/>
      <c r="L59" s="905"/>
      <c r="M59" s="905"/>
    </row>
  </sheetData>
  <mergeCells count="10">
    <mergeCell ref="B55:E55"/>
    <mergeCell ref="O2:Q4"/>
    <mergeCell ref="B3:M5"/>
    <mergeCell ref="B8:M12"/>
    <mergeCell ref="B39:M45"/>
    <mergeCell ref="B53:M54"/>
    <mergeCell ref="C15:F24"/>
    <mergeCell ref="C28:F35"/>
    <mergeCell ref="O6:Q10"/>
    <mergeCell ref="B47:M52"/>
  </mergeCells>
  <hyperlinks>
    <hyperlink ref="O2" location="'TABLE OF CONTENTS'!A1" display="Table of Contents"/>
    <hyperlink ref="F55" r:id="rId1"/>
    <hyperlink ref="O6" location="INCUBATION!A1" display="Step 1.2: Incubation Period Settings"/>
  </hyperlinks>
  <pageMargins left="0.7" right="0.7" top="0.75" bottom="0.75" header="0.3" footer="0.3"/>
  <pageSetup orientation="portrait" horizontalDpi="4294967294"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2" tint="-9.9978637043366805E-2"/>
  </sheetPr>
  <dimension ref="A1:CH51"/>
  <sheetViews>
    <sheetView showGridLines="0" showRowColHeaders="0" zoomScaleNormal="100" workbookViewId="0">
      <pane xSplit="16080" topLeftCell="BO1"/>
      <selection pane="topRight" activeCell="N2" sqref="N2"/>
    </sheetView>
  </sheetViews>
  <sheetFormatPr defaultColWidth="9.109375" defaultRowHeight="13.2" x14ac:dyDescent="0.25"/>
  <cols>
    <col min="1" max="1" width="1.33203125" style="1" customWidth="1"/>
    <col min="2" max="2" width="2" style="1" customWidth="1"/>
    <col min="3" max="3" width="22" style="1" customWidth="1"/>
    <col min="4" max="4" width="5.6640625" style="1" customWidth="1"/>
    <col min="5" max="5" width="7.109375" style="1" customWidth="1"/>
    <col min="6" max="6" width="6.33203125" style="1" customWidth="1"/>
    <col min="7" max="9" width="5.6640625" style="1" customWidth="1"/>
    <col min="10" max="10" width="5.88671875" style="1" customWidth="1"/>
    <col min="11" max="65" width="5.6640625" style="1" customWidth="1"/>
    <col min="66" max="66" width="10.88671875" style="1" customWidth="1"/>
    <col min="67" max="83" width="9.109375" style="1"/>
    <col min="84" max="84" width="8.33203125" style="1" customWidth="1"/>
    <col min="85" max="85" width="17.5546875" style="1" customWidth="1"/>
    <col min="86" max="86" width="14.6640625" style="1" customWidth="1"/>
    <col min="87" max="16384" width="9.109375" style="1"/>
  </cols>
  <sheetData>
    <row r="1" spans="1:86" ht="15" x14ac:dyDescent="0.25">
      <c r="C1" s="439" t="s">
        <v>417</v>
      </c>
      <c r="BO1" s="6"/>
      <c r="BP1" s="6"/>
      <c r="BQ1" s="6"/>
      <c r="BR1" s="6"/>
      <c r="BS1" s="6"/>
      <c r="BT1" s="6"/>
      <c r="BU1" s="6"/>
      <c r="BV1" s="6"/>
    </row>
    <row r="2" spans="1:86" ht="15.75" customHeight="1" x14ac:dyDescent="0.25">
      <c r="C2" s="1019" t="s">
        <v>536</v>
      </c>
      <c r="D2" s="1019"/>
      <c r="E2" s="1019"/>
      <c r="F2" s="1019"/>
      <c r="G2" s="1019"/>
      <c r="H2" s="1019"/>
      <c r="I2" s="1019"/>
      <c r="J2" s="1019"/>
      <c r="K2" s="1019"/>
      <c r="L2" s="1019"/>
      <c r="M2" s="1019"/>
      <c r="N2" s="1019"/>
      <c r="O2" s="1019"/>
      <c r="P2" s="1019"/>
      <c r="Q2" s="1019"/>
      <c r="R2" s="1019"/>
      <c r="S2" s="1019"/>
      <c r="T2" s="1019"/>
      <c r="U2" s="1019"/>
      <c r="V2" s="1019"/>
      <c r="W2" s="1019"/>
      <c r="BO2" s="8"/>
      <c r="BP2" s="8"/>
      <c r="BQ2" s="8"/>
      <c r="BR2" s="8"/>
      <c r="BS2" s="8"/>
      <c r="BT2" s="8"/>
      <c r="BU2" s="8"/>
      <c r="BV2" s="8"/>
    </row>
    <row r="3" spans="1:86" x14ac:dyDescent="0.25">
      <c r="C3" s="1019"/>
      <c r="D3" s="1019"/>
      <c r="E3" s="1019"/>
      <c r="F3" s="1019"/>
      <c r="G3" s="1019"/>
      <c r="H3" s="1019"/>
      <c r="I3" s="1019"/>
      <c r="J3" s="1019"/>
      <c r="K3" s="1019"/>
      <c r="L3" s="1019"/>
      <c r="M3" s="1019"/>
      <c r="N3" s="1019"/>
      <c r="O3" s="1019"/>
      <c r="P3" s="1019"/>
      <c r="Q3" s="1019"/>
      <c r="R3" s="1019"/>
      <c r="S3" s="1019"/>
      <c r="T3" s="1019"/>
      <c r="U3" s="1019"/>
      <c r="V3" s="1019"/>
      <c r="W3" s="1019"/>
      <c r="BO3" s="6"/>
      <c r="BP3" s="6"/>
      <c r="BQ3" s="6"/>
      <c r="BR3" s="6"/>
      <c r="BS3" s="6"/>
      <c r="BT3" s="6"/>
      <c r="BU3" s="6"/>
      <c r="BV3" s="6"/>
    </row>
    <row r="4" spans="1:86" ht="5.25" customHeight="1" x14ac:dyDescent="0.25">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8"/>
      <c r="BO4" s="8"/>
      <c r="BP4" s="8"/>
      <c r="BQ4" s="8"/>
      <c r="BR4" s="8"/>
      <c r="BS4" s="8"/>
      <c r="BT4" s="8"/>
      <c r="BU4" s="8"/>
      <c r="BV4" s="8"/>
    </row>
    <row r="5" spans="1:86" ht="5.25" customHeight="1" thickBot="1" x14ac:dyDescent="0.3">
      <c r="A5" s="6"/>
      <c r="B5" s="122"/>
      <c r="C5" s="123"/>
      <c r="D5" s="123"/>
      <c r="E5" s="123"/>
      <c r="F5" s="123"/>
      <c r="G5" s="123"/>
      <c r="H5" s="123"/>
      <c r="I5" s="123"/>
      <c r="J5" s="123"/>
      <c r="K5" s="123"/>
      <c r="L5" s="123"/>
      <c r="M5" s="123"/>
      <c r="N5" s="123"/>
      <c r="O5" s="123"/>
      <c r="P5" s="123"/>
      <c r="Q5" s="123"/>
      <c r="R5" s="124"/>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row>
    <row r="6" spans="1:86" ht="17.25" customHeight="1" x14ac:dyDescent="0.25">
      <c r="A6" s="6"/>
      <c r="B6" s="433"/>
      <c r="C6" s="1033" t="s">
        <v>344</v>
      </c>
      <c r="D6" s="121"/>
      <c r="E6" s="152"/>
      <c r="F6" s="153"/>
      <c r="G6" s="154" t="s">
        <v>156</v>
      </c>
      <c r="H6" s="1029"/>
      <c r="I6" s="1030"/>
      <c r="J6" s="6"/>
      <c r="K6" s="1035" t="s">
        <v>341</v>
      </c>
      <c r="L6" s="1041"/>
      <c r="M6" s="1042"/>
      <c r="N6" s="6"/>
      <c r="O6" s="1035" t="s">
        <v>340</v>
      </c>
      <c r="P6" s="1041"/>
      <c r="Q6" s="1042"/>
      <c r="R6" s="434"/>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8"/>
      <c r="BO6" s="8"/>
      <c r="BP6" s="8"/>
      <c r="BQ6" s="8"/>
      <c r="BR6" s="8"/>
      <c r="BS6" s="8"/>
      <c r="BT6" s="8"/>
      <c r="BU6" s="8"/>
      <c r="BV6" s="8"/>
    </row>
    <row r="7" spans="1:86" ht="19.5" customHeight="1" thickBot="1" x14ac:dyDescent="0.3">
      <c r="A7" s="6"/>
      <c r="B7" s="433"/>
      <c r="C7" s="1033"/>
      <c r="D7" s="121"/>
      <c r="E7" s="155"/>
      <c r="F7" s="437"/>
      <c r="G7" s="438" t="s">
        <v>157</v>
      </c>
      <c r="H7" s="1054"/>
      <c r="I7" s="1055"/>
      <c r="J7" s="6"/>
      <c r="K7" s="1043"/>
      <c r="L7" s="1044"/>
      <c r="M7" s="1045"/>
      <c r="N7" s="6"/>
      <c r="O7" s="1043"/>
      <c r="P7" s="1044"/>
      <c r="Q7" s="1045"/>
      <c r="R7" s="434"/>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8"/>
      <c r="BO7" s="8"/>
      <c r="BP7" s="8"/>
      <c r="BQ7" s="8"/>
      <c r="BR7" s="8"/>
      <c r="BS7" s="8"/>
      <c r="BT7" s="8"/>
      <c r="BU7" s="8"/>
      <c r="BV7" s="8"/>
    </row>
    <row r="8" spans="1:86" ht="5.25" customHeight="1" x14ac:dyDescent="0.25">
      <c r="A8" s="6"/>
      <c r="B8" s="127"/>
      <c r="C8" s="435"/>
      <c r="D8" s="435"/>
      <c r="E8" s="435"/>
      <c r="F8" s="435"/>
      <c r="G8" s="435"/>
      <c r="H8" s="435"/>
      <c r="I8" s="435"/>
      <c r="J8" s="435"/>
      <c r="K8" s="435"/>
      <c r="L8" s="435"/>
      <c r="M8" s="435"/>
      <c r="N8" s="435"/>
      <c r="O8" s="435"/>
      <c r="P8" s="435"/>
      <c r="Q8" s="435"/>
      <c r="R8" s="43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8"/>
      <c r="BO8" s="8"/>
      <c r="BP8" s="8"/>
      <c r="BQ8" s="8"/>
      <c r="BR8" s="8"/>
      <c r="BS8" s="8"/>
      <c r="BT8" s="8"/>
      <c r="BU8" s="8"/>
      <c r="BV8" s="8"/>
      <c r="CH8" s="46"/>
    </row>
    <row r="9" spans="1:86" ht="5.25" customHeight="1" thickBot="1" x14ac:dyDescent="0.3">
      <c r="A9" s="6"/>
      <c r="B9" s="6"/>
      <c r="C9" s="121"/>
      <c r="D9" s="121"/>
      <c r="E9" s="121"/>
      <c r="F9" s="121"/>
      <c r="G9" s="121"/>
      <c r="H9" s="121"/>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8"/>
      <c r="BO9" s="8"/>
      <c r="BP9" s="8"/>
      <c r="BQ9" s="8"/>
      <c r="BR9" s="8"/>
      <c r="BS9" s="8"/>
      <c r="BT9" s="8"/>
      <c r="BU9" s="8"/>
      <c r="BV9" s="8"/>
      <c r="CH9" s="46">
        <v>0</v>
      </c>
    </row>
    <row r="10" spans="1:86" ht="12.75" customHeight="1" x14ac:dyDescent="0.25">
      <c r="A10" s="6"/>
      <c r="B10" s="6"/>
      <c r="C10" s="1016" t="s">
        <v>348</v>
      </c>
      <c r="D10" s="421"/>
      <c r="E10" s="421"/>
      <c r="F10" s="421"/>
      <c r="G10" s="421"/>
      <c r="H10" s="421"/>
      <c r="I10" s="421"/>
      <c r="J10" s="421"/>
      <c r="K10" s="421"/>
      <c r="L10" s="421"/>
      <c r="M10" s="421"/>
      <c r="N10" s="421"/>
      <c r="O10" s="421"/>
      <c r="P10" s="422"/>
      <c r="Q10" s="421"/>
      <c r="R10" s="421"/>
      <c r="S10" s="421"/>
      <c r="T10" s="421"/>
      <c r="U10" s="421"/>
      <c r="V10" s="421"/>
      <c r="W10" s="421"/>
      <c r="X10" s="421"/>
      <c r="Y10" s="421"/>
      <c r="Z10" s="421"/>
      <c r="AA10" s="421"/>
      <c r="AB10" s="421"/>
      <c r="AC10" s="421"/>
      <c r="AD10" s="421"/>
      <c r="AE10" s="421"/>
      <c r="AF10" s="421"/>
      <c r="AG10" s="421"/>
      <c r="AH10" s="421"/>
      <c r="AI10" s="421"/>
      <c r="AJ10" s="421"/>
      <c r="AK10" s="421"/>
      <c r="AL10" s="421"/>
      <c r="AM10" s="421"/>
      <c r="AN10" s="421"/>
      <c r="AO10" s="421"/>
      <c r="AP10" s="421"/>
      <c r="AQ10" s="421"/>
      <c r="AR10" s="421"/>
      <c r="AS10" s="421"/>
      <c r="AT10" s="421"/>
      <c r="AU10" s="421"/>
      <c r="AV10" s="421"/>
      <c r="AW10" s="421"/>
      <c r="AX10" s="421"/>
      <c r="AY10" s="421"/>
      <c r="AZ10" s="421"/>
      <c r="BA10" s="421"/>
      <c r="BB10" s="421"/>
      <c r="BC10" s="421"/>
      <c r="BD10" s="421"/>
      <c r="BE10" s="421"/>
      <c r="BF10" s="421"/>
      <c r="BG10" s="421"/>
      <c r="BH10" s="421"/>
      <c r="BI10" s="421"/>
      <c r="BJ10" s="421"/>
      <c r="BK10" s="421"/>
      <c r="BL10" s="421"/>
      <c r="BM10" s="421"/>
      <c r="BN10" s="423"/>
      <c r="BO10" s="8"/>
      <c r="BP10" s="8"/>
      <c r="BQ10" s="8"/>
      <c r="BR10" s="8"/>
      <c r="BS10" s="8"/>
      <c r="BT10" s="8"/>
      <c r="BU10" s="8"/>
      <c r="BV10" s="8"/>
      <c r="CG10" s="128">
        <f ca="1">TODAY()</f>
        <v>42689</v>
      </c>
      <c r="CH10" s="46">
        <v>4.1666666666666664E-2</v>
      </c>
    </row>
    <row r="11" spans="1:86" ht="13.5" customHeight="1" x14ac:dyDescent="0.25">
      <c r="A11" s="6"/>
      <c r="B11" s="6"/>
      <c r="C11" s="1017"/>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25"/>
      <c r="BO11" s="8"/>
      <c r="BP11" s="8"/>
      <c r="BQ11" s="8"/>
      <c r="BR11" s="8"/>
      <c r="BS11" s="8"/>
      <c r="BT11" s="8"/>
      <c r="BU11" s="8"/>
      <c r="BV11" s="8"/>
      <c r="CG11" s="128">
        <f ca="1">CG10-1</f>
        <v>42688</v>
      </c>
      <c r="CH11" s="46">
        <v>8.3333333333333398E-2</v>
      </c>
    </row>
    <row r="12" spans="1:86" ht="74.25" customHeight="1" x14ac:dyDescent="0.25">
      <c r="A12" s="6"/>
      <c r="B12" s="6"/>
      <c r="C12" s="1018" t="s">
        <v>0</v>
      </c>
      <c r="D12" s="48"/>
      <c r="E12" s="48"/>
      <c r="F12" s="48"/>
      <c r="G12" s="48"/>
      <c r="H12" s="48"/>
      <c r="I12" s="48"/>
      <c r="J12" s="48"/>
      <c r="K12" s="48"/>
      <c r="L12" s="48"/>
      <c r="M12" s="48"/>
      <c r="N12" s="48"/>
      <c r="O12" s="48"/>
      <c r="P12" s="120"/>
      <c r="Q12" s="48"/>
      <c r="R12" s="119"/>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26"/>
      <c r="BO12" s="9"/>
      <c r="BP12" s="9"/>
      <c r="BQ12" s="9"/>
      <c r="BR12" s="9"/>
      <c r="BS12" s="9"/>
      <c r="BT12" s="9"/>
      <c r="BU12" s="9"/>
      <c r="BV12" s="9"/>
      <c r="CG12" s="128">
        <f t="shared" ref="CG12:CG51" ca="1" si="0">CG11-1</f>
        <v>42687</v>
      </c>
      <c r="CH12" s="46">
        <v>0.125</v>
      </c>
    </row>
    <row r="13" spans="1:86" s="3" customFormat="1" x14ac:dyDescent="0.25">
      <c r="A13" s="6"/>
      <c r="B13" s="6"/>
      <c r="C13" s="101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25"/>
      <c r="BO13" s="8"/>
      <c r="BP13" s="8"/>
      <c r="BQ13" s="8"/>
      <c r="BR13" s="8"/>
      <c r="BS13" s="8"/>
      <c r="BT13" s="8"/>
      <c r="BU13" s="8"/>
      <c r="BV13" s="8"/>
      <c r="CG13" s="128">
        <f t="shared" ca="1" si="0"/>
        <v>42686</v>
      </c>
      <c r="CH13" s="46">
        <v>0.16666666666666699</v>
      </c>
    </row>
    <row r="14" spans="1:86" x14ac:dyDescent="0.25">
      <c r="A14" s="6"/>
      <c r="B14" s="6"/>
      <c r="C14" s="424"/>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25"/>
      <c r="BO14" s="8"/>
      <c r="BP14" s="8"/>
      <c r="BQ14" s="8"/>
      <c r="BR14" s="8"/>
      <c r="BS14" s="8"/>
      <c r="BT14" s="8"/>
      <c r="BU14" s="8"/>
      <c r="BV14" s="8"/>
      <c r="CG14" s="128">
        <f t="shared" ca="1" si="0"/>
        <v>42685</v>
      </c>
      <c r="CH14" s="46">
        <v>0.20833333333333301</v>
      </c>
    </row>
    <row r="15" spans="1:86" x14ac:dyDescent="0.25">
      <c r="A15" s="6"/>
      <c r="B15" s="6"/>
      <c r="C15" s="424"/>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25"/>
      <c r="BO15" s="8"/>
      <c r="BP15" s="8"/>
      <c r="BQ15" s="8"/>
      <c r="BR15" s="8"/>
      <c r="BS15" s="8"/>
      <c r="BT15" s="8"/>
      <c r="BU15" s="8"/>
      <c r="BV15" s="8"/>
      <c r="CG15" s="128">
        <f t="shared" ca="1" si="0"/>
        <v>42684</v>
      </c>
      <c r="CH15" s="46">
        <v>0.25</v>
      </c>
    </row>
    <row r="16" spans="1:86" s="13" customFormat="1" ht="13.8" x14ac:dyDescent="0.25">
      <c r="A16" s="6"/>
      <c r="B16" s="6"/>
      <c r="C16" s="427" t="s">
        <v>2</v>
      </c>
      <c r="D16" s="1046">
        <f ca="1">IF($H$6="",TODAY(),$H$6)</f>
        <v>42689</v>
      </c>
      <c r="E16" s="1046"/>
      <c r="F16" s="1047" t="str">
        <f>IF(AND((ROUND(F$19,2)&gt;0.96),(ROUND(F$19,1)&lt;1.2)),$D$16+F$19,(IF(AND((ROUND(F$19,2)&gt;1.96),(ROUND(F$19,1)&lt;2.2)),$D$16+F$19,(IF(AND((ROUND(F$19,2)&gt;2.96),(ROUND(F$19,1)&lt;3.2)),$D$16+F$19,(IF(AND((ROUND(F$19,2)&gt;3.96),(ROUND(F$19,1)&lt;4.2)),$D$16+F$19,(IF(AND((ROUND(F$19,2)&gt;4.96),(ROUND(F$19,1)&lt;5.2)),$D$16+F$19," ")))))))))</f>
        <v xml:space="preserve"> </v>
      </c>
      <c r="G16" s="1047"/>
      <c r="H16" s="1047" t="str">
        <f>IF(AND((ROUND(H$19,2)&gt;0.96),(ROUND(H$19,1)&lt;1.2)),$D$16+H$19,(IF(AND((ROUND(H$19,2)&gt;1.96),(ROUND(H$19,1)&lt;2.2)),$D$16+H$19,(IF(AND((ROUND(H$19,2)&gt;2.96),(ROUND(H$19,1)&lt;3.2)),$D$16+H$19,(IF(AND((ROUND(H$19,2)&gt;3.96),(ROUND(H$19,1)&lt;4.2)),$D$16+H$19,(IF(AND((ROUND(H$19,2)&gt;4.96),(ROUND(H$19,1)&lt;5.2)),$D$16+H$19," ")))))))))</f>
        <v xml:space="preserve"> </v>
      </c>
      <c r="I16" s="1047"/>
      <c r="J16" s="1047" t="str">
        <f>IF(AND((ROUND(J$19,2)&gt;0.96),(ROUND(J$19,1)&lt;1.2)),$D$16+J$19,(IF(AND((ROUND(J$19,2)&gt;1.96),(ROUND(J$19,1)&lt;2.2)),$D$16+J$19,(IF(AND((ROUND(J$19,2)&gt;2.96),(ROUND(J$19,1)&lt;3.2)),$D$16+J$19,(IF(AND((ROUND(J$19,2)&gt;3.96),(ROUND(J$19,1)&lt;4.2)),$D$16+J$19,(IF(AND((ROUND(J$19,2)&gt;4.96),(ROUND(J$19,1)&lt;5.2)),$D$16+J$19," ")))))))))</f>
        <v xml:space="preserve"> </v>
      </c>
      <c r="K16" s="1047"/>
      <c r="L16" s="1047" t="str">
        <f>IF(AND((ROUND(L$19,2)&gt;0.96),(ROUND(L$19,1)&lt;1.2)),$D$16+L$19,(IF(AND((ROUND(L$19,2)&gt;1.96),(ROUND(L$19,1)&lt;2.2)),$D$16+L$19,(IF(AND((ROUND(L$19,2)&gt;2.96),(ROUND(L$19,1)&lt;3.2)),$D$16+L$19,(IF(AND((ROUND(L$19,2)&gt;3.96),(ROUND(L$19,1)&lt;4.2)),$D$16+L$19,(IF(AND((ROUND(L$19,2)&gt;4.96),(ROUND(L$19,1)&lt;5.2)),$D$16+L$19," ")))))))))</f>
        <v xml:space="preserve"> </v>
      </c>
      <c r="M16" s="1047"/>
      <c r="N16" s="1047" t="str">
        <f>IF(AND((ROUND(N$19,2)&gt;0.96),(ROUND(N$19,1)&lt;1.2)),$D$16+N$19,(IF(AND((ROUND(N$19,2)&gt;1.96),(ROUND(N$19,1)&lt;2.2)),$D$16+N$19,(IF(AND((ROUND(N$19,2)&gt;2.96),(ROUND(N$19,1)&lt;3.2)),$D$16+N$19,(IF(AND((ROUND(N$19,2)&gt;3.96),(ROUND(N$19,1)&lt;4.2)),$D$16+N$19,(IF(AND((ROUND(N$19,2)&gt;4.96),(ROUND(N$19,1)&lt;5.2)),$D$16+N$19," ")))))))))</f>
        <v xml:space="preserve"> </v>
      </c>
      <c r="O16" s="1047"/>
      <c r="P16" s="1047">
        <f ca="1">IF(AND((ROUND(P$19,2)&gt;0.96),(ROUND(P$19,1)&lt;1.2)),$D$16+P$19,(IF(AND((ROUND(P$19,2)&gt;1.96),(ROUND(P$19,1)&lt;2.2)),$D$16+P$19,(IF(AND((ROUND(P$19,2)&gt;2.96),(ROUND(P$19,1)&lt;3.2)),$D$16+P$19,(IF(AND((ROUND(P$19,2)&gt;3.96),(ROUND(P$19,1)&lt;4.2)),$D$16+P$19,(IF(AND((ROUND(P$19,2)&gt;4.96),(ROUND(P$19,1)&lt;5.2)),$D$16+P$19," ")))))))))</f>
        <v>42690</v>
      </c>
      <c r="Q16" s="1047"/>
      <c r="R16" s="1047" t="str">
        <f>IF(AND((ROUND(R$19,2)&gt;0.96),(ROUND(R$19,1)&lt;1.2)),$D$16+R$19,(IF(AND((ROUND(R$19,2)&gt;1.96),(ROUND(R$19,1)&lt;2.2)),$D$16+R$19,(IF(AND((ROUND(R$19,2)&gt;2.96),(ROUND(R$19,1)&lt;3.2)),$D$16+R$19,(IF(AND((ROUND(R$19,2)&gt;3.96),(ROUND(R$19,1)&lt;4.2)),$D$16+R$19,(IF(AND((ROUND(R$19,2)&gt;4.96),(ROUND(R$19,1)&lt;5.2)),$D$16+R$19," ")))))))))</f>
        <v xml:space="preserve"> </v>
      </c>
      <c r="S16" s="1047"/>
      <c r="T16" s="1047" t="str">
        <f>IF(AND((ROUND(T$19,2)&gt;0.96),(ROUND(T$19,1)&lt;1.2)),$D$16+T$19,(IF(AND((ROUND(T$19,2)&gt;1.96),(ROUND(T$19,1)&lt;2.2)),$D$16+T$19,(IF(AND((ROUND(T$19,2)&gt;2.96),(ROUND(T$19,1)&lt;3.2)),$D$16+T$19,(IF(AND((ROUND(T$19,2)&gt;3.96),(ROUND(T$19,1)&lt;4.2)),$D$16+T$19,(IF(AND((ROUND(T$19,2)&gt;4.96),(ROUND(T$19,1)&lt;5.2)),$D$16+T$19," ")))))))))</f>
        <v xml:space="preserve"> </v>
      </c>
      <c r="U16" s="1047"/>
      <c r="V16" s="1047" t="str">
        <f>IF(AND((ROUND(V$19,2)&gt;0.96),(ROUND(V$19,1)&lt;1.2)),$D$16+V$19,(IF(AND((ROUND(V$19,2)&gt;1.96),(ROUND(V$19,1)&lt;2.2)),$D$16+V$19,(IF(AND((ROUND(V$19,2)&gt;2.96),(ROUND(V$19,1)&lt;3.2)),$D$16+V$19,(IF(AND((ROUND(V$19,2)&gt;3.96),(ROUND(V$19,1)&lt;4.2)),$D$16+V$19,(IF(AND((ROUND(V$19,2)&gt;4.96),(ROUND(V$19,1)&lt;5.2)),$D$16+V$19," ")))))))))</f>
        <v xml:space="preserve"> </v>
      </c>
      <c r="W16" s="1047"/>
      <c r="X16" s="1047" t="str">
        <f>IF(AND((ROUND(X$19,2)&gt;0.96),(ROUND(X$19,1)&lt;1.2)),$D$16+X$19,(IF(AND((ROUND(X$19,2)&gt;1.96),(ROUND(X$19,1)&lt;2.2)),$D$16+X$19,(IF(AND((ROUND(X$19,2)&gt;2.96),(ROUND(X$19,1)&lt;3.2)),$D$16+X$19,(IF(AND((ROUND(X$19,2)&gt;3.96),(ROUND(X$19,1)&lt;4.2)),$D$16+X$19,(IF(AND((ROUND(X$19,2)&gt;4.96),(ROUND(X$19,1)&lt;5.2)),$D$16+X$19," ")))))))))</f>
        <v xml:space="preserve"> </v>
      </c>
      <c r="Y16" s="1047"/>
      <c r="Z16" s="1047" t="str">
        <f>IF(AND((ROUND(Z$19,2)&gt;0.96),(ROUND(Z$19,1)&lt;1.2)),$D$16+Z$19,(IF(AND((ROUND(Z$19,2)&gt;1.96),(ROUND(Z$19,1)&lt;2.2)),$D$16+Z$19,(IF(AND((ROUND(Z$19,2)&gt;2.96),(ROUND(Z$19,1)&lt;3.2)),$D$16+Z$19,(IF(AND((ROUND(Z$19,2)&gt;3.96),(ROUND(Z$19,1)&lt;4.2)),$D$16+Z$19,(IF(AND((ROUND(Z$19,2)&gt;4.96),(ROUND(Z$19,1)&lt;5.2)),$D$16+Z$19," ")))))))))</f>
        <v xml:space="preserve"> </v>
      </c>
      <c r="AA16" s="1047"/>
      <c r="AB16" s="1047">
        <f ca="1">IF(AND((ROUND(AB$19,2)&gt;0.96),(ROUND(AB$19,1)&lt;1.2)),$D$16+AB$19,(IF(AND((ROUND(AB$19,2)&gt;1.96),(ROUND(AB$19,1)&lt;2.2)),$D$16+AB$19,(IF(AND((ROUND(AB$19,2)&gt;2.96),(ROUND(AB$19,1)&lt;3.2)),$D$16+AB$19,(IF(AND((ROUND(AB$19,2)&gt;3.96),(ROUND(AB$19,1)&lt;4.2)),$D$16+AB$19,(IF(AND((ROUND(AB$19,2)&gt;4.96),(ROUND(AB$19,1)&lt;5.2)),$D$16+AB$19," ")))))))))</f>
        <v>42691</v>
      </c>
      <c r="AC16" s="1047"/>
      <c r="AD16" s="1047" t="str">
        <f>IF(AND((ROUND(AD$19,2)&gt;0.96),(ROUND(AD$19,1)&lt;1.2)),$D$16+AD$19,(IF(AND((ROUND(AD$19,2)&gt;1.96),(ROUND(AD$19,1)&lt;2.2)),$D$16+AD$19,(IF(AND((ROUND(AD$19,2)&gt;2.96),(ROUND(AD$19,1)&lt;3.2)),$D$16+AD$19,(IF(AND((ROUND(AD$19,2)&gt;3.96),(ROUND(AD$19,1)&lt;4.2)),$D$16+AD$19,(IF(AND((ROUND(AD$19,2)&gt;4.96),(ROUND(AD$19,1)&lt;5.2)),$D$16+AD$19," ")))))))))</f>
        <v xml:space="preserve"> </v>
      </c>
      <c r="AE16" s="1047"/>
      <c r="AF16" s="1047" t="str">
        <f>IF(AND((ROUND(AF$19,2)&gt;0.96),(ROUND(AF$19,1)&lt;1.2)),$D$16+AF$19,(IF(AND((ROUND(AF$19,2)&gt;1.96),(ROUND(AF$19,1)&lt;2.2)),$D$16+AF$19,(IF(AND((ROUND(AF$19,2)&gt;2.96),(ROUND(AF$19,1)&lt;3.2)),$D$16+AF$19,(IF(AND((ROUND(AF$19,2)&gt;3.96),(ROUND(AF$19,1)&lt;4.2)),$D$16+AF$19,(IF(AND((ROUND(AF$19,2)&gt;4.96),(ROUND(AF$19,1)&lt;5.2)),$D$16+AF$19," ")))))))))</f>
        <v xml:space="preserve"> </v>
      </c>
      <c r="AG16" s="1047"/>
      <c r="AH16" s="1047" t="str">
        <f>IF(AND((ROUND(AH$19,2)&gt;0.96),(ROUND(AH$19,1)&lt;1.2)),$D$16+AH$19,(IF(AND((ROUND(AH$19,2)&gt;1.96),(ROUND(AH$19,1)&lt;2.2)),$D$16+AH$19,(IF(AND((ROUND(AH$19,2)&gt;2.96),(ROUND(AH$19,1)&lt;3.2)),$D$16+AH$19,(IF(AND((ROUND(AH$19,2)&gt;3.96),(ROUND(AH$19,1)&lt;4.2)),$D$16+AH$19,(IF(AND((ROUND(AH$19,2)&gt;4.96),(ROUND(AH$19,1)&lt;5.2)),$D$16+AH$19," ")))))))))</f>
        <v xml:space="preserve"> </v>
      </c>
      <c r="AI16" s="1047"/>
      <c r="AJ16" s="1047" t="str">
        <f>IF(AND((ROUND(AJ$19,2)&gt;0.96),(ROUND(AJ$19,1)&lt;1.2)),$D$16+AJ$19,(IF(AND((ROUND(AJ$19,2)&gt;1.96),(ROUND(AJ$19,1)&lt;2.2)),$D$16+AJ$19,(IF(AND((ROUND(AJ$19,2)&gt;2.96),(ROUND(AJ$19,1)&lt;3.2)),$D$16+AJ$19,(IF(AND((ROUND(AJ$19,2)&gt;3.96),(ROUND(AJ$19,1)&lt;4.2)),$D$16+AJ$19,(IF(AND((ROUND(AJ$19,2)&gt;4.96),(ROUND(AJ$19,1)&lt;5.2)),$D$16+AJ$19," ")))))))))</f>
        <v xml:space="preserve"> </v>
      </c>
      <c r="AK16" s="1047"/>
      <c r="AL16" s="1047" t="str">
        <f>IF(AND((ROUND(AL$19,2)&gt;0.96),(ROUND(AL$19,1)&lt;1.2)),$D$16+AL$19,(IF(AND((ROUND(AL$19,2)&gt;1.96),(ROUND(AL$19,1)&lt;2.2)),$D$16+AL$19,(IF(AND((ROUND(AL$19,2)&gt;2.96),(ROUND(AL$19,1)&lt;3.2)),$D$16+AL$19,(IF(AND((ROUND(AL$19,2)&gt;3.96),(ROUND(AL$19,1)&lt;4.2)),$D$16+AL$19,(IF(AND((ROUND(AL$19,2)&gt;4.96),(ROUND(AL$19,1)&lt;5.2)),$D$16+AL$19," ")))))))))</f>
        <v xml:space="preserve"> </v>
      </c>
      <c r="AM16" s="1047"/>
      <c r="AN16" s="1047">
        <f ca="1">IF(AND((ROUND(AN$19,2)&gt;0.96),(ROUND(AN$19,1)&lt;1.2)),$D$16+AN$19,(IF(AND((ROUND(AN$19,2)&gt;1.96),(ROUND(AN$19,1)&lt;2.2)),$D$16+AN$19,(IF(AND((ROUND(AN$19,2)&gt;2.96),(ROUND(AN$19,1)&lt;3.2)),$D$16+AN$19,(IF(AND((ROUND(AN$19,2)&gt;3.96),(ROUND(AN$19,1)&lt;4.2)),$D$16+AN$19,(IF(AND((ROUND(AN$19,2)&gt;4.96),(ROUND(AN$19,1)&lt;5.2)),$D$16+AN$19," ")))))))))</f>
        <v>42692</v>
      </c>
      <c r="AO16" s="1047"/>
      <c r="AP16" s="1047" t="str">
        <f>IF(AND((ROUND(AP$19,2)&gt;0.96),(ROUND(AP$19,1)&lt;1.2)),$D$16+AP$19,(IF(AND((ROUND(AP$19,2)&gt;1.96),(ROUND(AP$19,1)&lt;2.2)),$D$16+AP$19,(IF(AND((ROUND(AP$19,2)&gt;2.96),(ROUND(AP$19,1)&lt;3.2)),$D$16+AP$19,(IF(AND((ROUND(AP$19,2)&gt;3.96),(ROUND(AP$19,1)&lt;4.2)),$D$16+AP$19,(IF(AND((ROUND(AP$19,2)&gt;4.96),(ROUND(AP$19,1)&lt;5.2)),$D$16+AP$19," ")))))))))</f>
        <v xml:space="preserve"> </v>
      </c>
      <c r="AQ16" s="1047"/>
      <c r="AR16" s="1047" t="str">
        <f>IF(AND((ROUND(AR$19,2)&gt;0.96),(ROUND(AR$19,1)&lt;1.2)),$D$16+AR$19,(IF(AND((ROUND(AR$19,2)&gt;1.96),(ROUND(AR$19,1)&lt;2.2)),$D$16+AR$19,(IF(AND((ROUND(AR$19,2)&gt;2.96),(ROUND(AR$19,1)&lt;3.2)),$D$16+AR$19,(IF(AND((ROUND(AR$19,2)&gt;3.96),(ROUND(AR$19,1)&lt;4.2)),$D$16+AR$19,(IF(AND((ROUND(AR$19,2)&gt;4.96),(ROUND(AR$19,1)&lt;5.2)),$D$16+AR$19," ")))))))))</f>
        <v xml:space="preserve"> </v>
      </c>
      <c r="AS16" s="1047"/>
      <c r="AT16" s="1047" t="str">
        <f>IF(AND((ROUND(AT$19,2)&gt;0.96),(ROUND(AT$19,1)&lt;1.2)),$D$16+AT$19,(IF(AND((ROUND(AT$19,2)&gt;1.96),(ROUND(AT$19,1)&lt;2.2)),$D$16+AT$19,(IF(AND((ROUND(AT$19,2)&gt;2.96),(ROUND(AT$19,1)&lt;3.2)),$D$16+AT$19,(IF(AND((ROUND(AT$19,2)&gt;3.96),(ROUND(AT$19,1)&lt;4.2)),$D$16+AT$19,(IF(AND((ROUND(AT$19,2)&gt;4.96),(ROUND(AT$19,1)&lt;5.2)),$D$16+AT$19," ")))))))))</f>
        <v xml:space="preserve"> </v>
      </c>
      <c r="AU16" s="1047"/>
      <c r="AV16" s="1047" t="str">
        <f>IF(AND((ROUND(AV$19,2)&gt;0.96),(ROUND(AV$19,1)&lt;1.2)),$D$16+AV$19,(IF(AND((ROUND(AV$19,2)&gt;1.96),(ROUND(AV$19,1)&lt;2.2)),$D$16+AV$19,(IF(AND((ROUND(AV$19,2)&gt;2.96),(ROUND(AV$19,1)&lt;3.2)),$D$16+AV$19,(IF(AND((ROUND(AV$19,2)&gt;3.96),(ROUND(AV$19,1)&lt;4.2)),$D$16+AV$19,(IF(AND((ROUND(AV$19,2)&gt;4.96),(ROUND(AV$19,1)&lt;5.2)),$D$16+AV$19," ")))))))))</f>
        <v xml:space="preserve"> </v>
      </c>
      <c r="AW16" s="1047"/>
      <c r="AX16" s="1047" t="str">
        <f>IF(AND((ROUND(AX$19,2)&gt;0.96),(ROUND(AX$19,1)&lt;1.2)),$D$16+AX$19,(IF(AND((ROUND(AX$19,2)&gt;1.96),(ROUND(AX$19,1)&lt;2.2)),$D$16+AX$19,(IF(AND((ROUND(AX$19,2)&gt;2.96),(ROUND(AX$19,1)&lt;3.2)),$D$16+AX$19,(IF(AND((ROUND(AX$19,2)&gt;3.96),(ROUND(AX$19,1)&lt;4.2)),$D$16+AX$19,(IF(AND((ROUND(AX$19,2)&gt;4.96),(ROUND(AX$19,1)&lt;5.2)),$D$16+AX$19," ")))))))))</f>
        <v xml:space="preserve"> </v>
      </c>
      <c r="AY16" s="1047"/>
      <c r="AZ16" s="1047">
        <f ca="1">IF(AND((ROUND(AZ$19,2)&gt;0.96),(ROUND(AZ$19,1)&lt;1.2)),$D$16+AZ$19,(IF(AND((ROUND(AZ$19,2)&gt;1.96),(ROUND(AZ$19,1)&lt;2.2)),$D$16+AZ$19,(IF(AND((ROUND(AZ$19,2)&gt;2.96),(ROUND(AZ$19,1)&lt;3.2)),$D$16+AZ$19,(IF(AND((ROUND(AZ$19,2)&gt;3.96),(ROUND(AZ$19,1)&lt;4.2)),$D$16+AZ$19,(IF(AND((ROUND(AZ$19,2)&gt;4.96),(ROUND(AZ$19,1)&lt;5.2)),$D$16+AZ$19," ")))))))))</f>
        <v>42693</v>
      </c>
      <c r="BA16" s="1047"/>
      <c r="BB16" s="1047" t="str">
        <f>IF(AND((ROUND(BB$19,2)&gt;0.96),(ROUND(BB$19,1)&lt;1.2)),$D$16+BB$19,(IF(AND((ROUND(BB$19,2)&gt;1.96),(ROUND(BB$19,1)&lt;2.2)),$D$16+BB$19,(IF(AND((ROUND(BB$19,2)&gt;2.96),(ROUND(BB$19,1)&lt;3.2)),$D$16+BB$19,(IF(AND((ROUND(BB$19,2)&gt;3.96),(ROUND(BB$19,1)&lt;4.2)),$D$16+BB$19,(IF(AND((ROUND(BB$19,2)&gt;4.96),(ROUND(BB$19,1)&lt;5.2)),$D$16+BB$19," ")))))))))</f>
        <v xml:space="preserve"> </v>
      </c>
      <c r="BC16" s="1047"/>
      <c r="BD16" s="1047" t="str">
        <f>IF(AND((ROUND(BD$19,2)&gt;0.96),(ROUND(BD$19,1)&lt;1.2)),$D$16+BD$19,(IF(AND((ROUND(BD$19,2)&gt;1.96),(ROUND(BD$19,1)&lt;2.2)),$D$16+BD$19,(IF(AND((ROUND(BD$19,2)&gt;2.96),(ROUND(BD$19,1)&lt;3.2)),$D$16+BD$19,(IF(AND((ROUND(BD$19,2)&gt;3.96),(ROUND(BD$19,1)&lt;4.2)),$D$16+BD$19,(IF(AND((ROUND(BD$19,2)&gt;4.96),(ROUND(BD$19,1)&lt;5.2)),$D$16+BD$19," ")))))))))</f>
        <v xml:space="preserve"> </v>
      </c>
      <c r="BE16" s="1047"/>
      <c r="BF16" s="1047" t="str">
        <f>IF(AND((ROUND(BF$19,2)&gt;0.96),(ROUND(BF$19,1)&lt;1.2)),$D$16+BF$19,(IF(AND((ROUND(BF$19,2)&gt;1.96),(ROUND(BF$19,1)&lt;2.2)),$D$16+BF$19,(IF(AND((ROUND(BF$19,2)&gt;2.96),(ROUND(BF$19,1)&lt;3.2)),$D$16+BF$19,(IF(AND((ROUND(BF$19,2)&gt;3.96),(ROUND(BF$19,1)&lt;4.2)),$D$16+BF$19,(IF(AND((ROUND(BF$19,2)&gt;4.96),(ROUND(BF$19,1)&lt;5.2)),$D$16+BF$19," ")))))))))</f>
        <v xml:space="preserve"> </v>
      </c>
      <c r="BG16" s="1047"/>
      <c r="BH16" s="1047" t="str">
        <f>IF(AND((ROUND(BH$19,2)&gt;0.96),(ROUND(BH$19,1)&lt;1.2)),$D$16+BH$19,(IF(AND((ROUND(BH$19,2)&gt;1.96),(ROUND(BH$19,1)&lt;2.2)),$D$16+BH$19,(IF(AND((ROUND(BH$19,2)&gt;2.96),(ROUND(BH$19,1)&lt;3.2)),$D$16+BH$19,(IF(AND((ROUND(BH$19,2)&gt;3.96),(ROUND(BH$19,1)&lt;4.2)),$D$16+BH$19,(IF(AND((ROUND(BH$19,2)&gt;4.96),(ROUND(BH$19,1)&lt;5.2)),$D$16+BH$19," ")))))))))</f>
        <v xml:space="preserve"> </v>
      </c>
      <c r="BI16" s="1047"/>
      <c r="BJ16" s="1047" t="str">
        <f>IF(AND((ROUND(BJ$19,2)&gt;0.96),(ROUND(BJ$19,1)&lt;1.2)),$D$16+BJ$19,(IF(AND((ROUND(BJ$19,2)&gt;1.96),(ROUND(BJ$19,1)&lt;2.2)),$D$16+BJ$19,(IF(AND((ROUND(BJ$19,2)&gt;2.96),(ROUND(BJ$19,1)&lt;3.2)),$D$16+BJ$19,(IF(AND((ROUND(BJ$19,2)&gt;3.96),(ROUND(BJ$19,1)&lt;4.2)),$D$16+BJ$19,(IF(AND((ROUND(BJ$19,2)&gt;4.96),(ROUND(BJ$19,1)&lt;5.2)),$D$16+BJ$19," ")))))))))</f>
        <v xml:space="preserve"> </v>
      </c>
      <c r="BK16" s="1047"/>
      <c r="BL16" s="1047">
        <f ca="1">IF(AND((ROUND(BL$19,2)&gt;0.96),(ROUND(BL$19,1)&lt;1.2)),$D$16+BL$19,(IF(AND((ROUND(BL$19,2)&gt;1.96),(ROUND(BL$19,1)&lt;2.2)),$D$16+BL$19,(IF(AND((ROUND(BL$19,2)&gt;2.96),(ROUND(BL$19,1)&lt;3.2)),$D$16+BL$19,(IF(AND((ROUND(BL$19,2)&gt;3.96),(ROUND(BL$19,1)&lt;4.2)),$D$16+BL$19,(IF(AND((ROUND(BL$19,2)&gt;4.96),(ROUND(BL$19,1)&lt;5.2)),$D$16+BL$19," ")))))))))</f>
        <v>42694</v>
      </c>
      <c r="BM16" s="1047"/>
      <c r="BN16" s="428"/>
      <c r="BO16" s="12"/>
      <c r="BP16" s="12"/>
      <c r="BQ16" s="12"/>
      <c r="BR16" s="12"/>
      <c r="BS16" s="12"/>
      <c r="BT16" s="12"/>
      <c r="BU16" s="12"/>
      <c r="BV16" s="12"/>
      <c r="CG16" s="128">
        <f t="shared" ca="1" si="0"/>
        <v>42683</v>
      </c>
      <c r="CH16" s="46">
        <v>0.29166666666666702</v>
      </c>
    </row>
    <row r="17" spans="1:86" ht="1.5" customHeight="1" x14ac:dyDescent="0.25">
      <c r="A17" s="6"/>
      <c r="B17" s="6"/>
      <c r="C17" s="429"/>
      <c r="D17" s="4"/>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425"/>
      <c r="BO17" s="8"/>
      <c r="BP17" s="8"/>
      <c r="BQ17" s="8"/>
      <c r="BR17" s="8"/>
      <c r="BS17" s="8"/>
      <c r="BT17" s="8"/>
      <c r="BU17" s="8"/>
      <c r="BV17" s="8"/>
      <c r="CG17" s="128">
        <f t="shared" ca="1" si="0"/>
        <v>42682</v>
      </c>
      <c r="CH17" s="46">
        <v>0.33333333333333298</v>
      </c>
    </row>
    <row r="18" spans="1:86" ht="6" customHeight="1" x14ac:dyDescent="0.25">
      <c r="A18" s="6"/>
      <c r="B18" s="6"/>
      <c r="C18" s="429"/>
      <c r="D18" s="49"/>
      <c r="E18" s="50"/>
      <c r="F18" s="51"/>
      <c r="G18" s="50"/>
      <c r="H18" s="51"/>
      <c r="I18" s="50"/>
      <c r="J18" s="51"/>
      <c r="K18" s="50"/>
      <c r="L18" s="51"/>
      <c r="M18" s="50"/>
      <c r="N18" s="51"/>
      <c r="O18" s="50"/>
      <c r="P18" s="51"/>
      <c r="Q18" s="50"/>
      <c r="R18" s="51"/>
      <c r="S18" s="50"/>
      <c r="T18" s="51"/>
      <c r="U18" s="50"/>
      <c r="V18" s="51"/>
      <c r="W18" s="50"/>
      <c r="X18" s="51"/>
      <c r="Y18" s="50"/>
      <c r="Z18" s="51"/>
      <c r="AA18" s="50"/>
      <c r="AB18" s="51"/>
      <c r="AC18" s="50"/>
      <c r="AD18" s="51"/>
      <c r="AE18" s="50"/>
      <c r="AF18" s="51"/>
      <c r="AG18" s="50"/>
      <c r="AH18" s="51"/>
      <c r="AI18" s="50"/>
      <c r="AJ18" s="51"/>
      <c r="AK18" s="50"/>
      <c r="AL18" s="51"/>
      <c r="AM18" s="50"/>
      <c r="AN18" s="51"/>
      <c r="AO18" s="50"/>
      <c r="AP18" s="51"/>
      <c r="AQ18" s="50"/>
      <c r="AR18" s="51"/>
      <c r="AS18" s="50"/>
      <c r="AT18" s="51"/>
      <c r="AU18" s="50"/>
      <c r="AV18" s="51"/>
      <c r="AW18" s="50"/>
      <c r="AX18" s="51"/>
      <c r="AY18" s="50"/>
      <c r="AZ18" s="51"/>
      <c r="BA18" s="50"/>
      <c r="BB18" s="51"/>
      <c r="BC18" s="50"/>
      <c r="BD18" s="51"/>
      <c r="BE18" s="50"/>
      <c r="BF18" s="51"/>
      <c r="BG18" s="50"/>
      <c r="BH18" s="51"/>
      <c r="BI18" s="50"/>
      <c r="BJ18" s="51"/>
      <c r="BK18" s="50"/>
      <c r="BL18" s="51"/>
      <c r="BM18" s="50"/>
      <c r="BN18" s="425"/>
      <c r="BO18" s="8"/>
      <c r="BP18" s="8"/>
      <c r="BQ18" s="8"/>
      <c r="BR18" s="8"/>
      <c r="BS18" s="8"/>
      <c r="BT18" s="8"/>
      <c r="BU18" s="8"/>
      <c r="BV18" s="8"/>
      <c r="CG18" s="128">
        <f t="shared" ca="1" si="0"/>
        <v>42681</v>
      </c>
      <c r="CH18" s="46">
        <v>0.375</v>
      </c>
    </row>
    <row r="19" spans="1:86" ht="12.75" customHeight="1" x14ac:dyDescent="0.25">
      <c r="A19" s="6"/>
      <c r="B19" s="6"/>
      <c r="C19" s="427" t="s">
        <v>3</v>
      </c>
      <c r="D19" s="1031">
        <f>H7</f>
        <v>0</v>
      </c>
      <c r="E19" s="1031"/>
      <c r="F19" s="1031">
        <f>D19+(4/24)</f>
        <v>0.16666666666666666</v>
      </c>
      <c r="G19" s="1031"/>
      <c r="H19" s="1031">
        <f>F19+(4/24)</f>
        <v>0.33333333333333331</v>
      </c>
      <c r="I19" s="1031"/>
      <c r="J19" s="1031">
        <f>H19+(4/24)</f>
        <v>0.5</v>
      </c>
      <c r="K19" s="1031"/>
      <c r="L19" s="1031">
        <f>J19+(4/24)</f>
        <v>0.66666666666666663</v>
      </c>
      <c r="M19" s="1031"/>
      <c r="N19" s="1031">
        <f>L19+(4/24)</f>
        <v>0.83333333333333326</v>
      </c>
      <c r="O19" s="1031"/>
      <c r="P19" s="1031">
        <f>N19+(4/24)</f>
        <v>0.99999999999999989</v>
      </c>
      <c r="Q19" s="1031"/>
      <c r="R19" s="1031">
        <f>P19+(4/24)</f>
        <v>1.1666666666666665</v>
      </c>
      <c r="S19" s="1031"/>
      <c r="T19" s="1031">
        <f>R19+(4/24)</f>
        <v>1.3333333333333333</v>
      </c>
      <c r="U19" s="1031"/>
      <c r="V19" s="1031">
        <f>T19+(4/24)</f>
        <v>1.5</v>
      </c>
      <c r="W19" s="1031"/>
      <c r="X19" s="1031">
        <f>V19+(4/24)</f>
        <v>1.6666666666666667</v>
      </c>
      <c r="Y19" s="1031"/>
      <c r="Z19" s="1031">
        <f>X19+(4/24)</f>
        <v>1.8333333333333335</v>
      </c>
      <c r="AA19" s="1031"/>
      <c r="AB19" s="1031">
        <f>Z19+(4/24)</f>
        <v>2</v>
      </c>
      <c r="AC19" s="1031"/>
      <c r="AD19" s="1031">
        <f>AB19+(4/24)</f>
        <v>2.1666666666666665</v>
      </c>
      <c r="AE19" s="1031"/>
      <c r="AF19" s="1031">
        <f>AD19+(4/24)</f>
        <v>2.333333333333333</v>
      </c>
      <c r="AG19" s="1031"/>
      <c r="AH19" s="1031">
        <f>AF19+(4/24)</f>
        <v>2.4999999999999996</v>
      </c>
      <c r="AI19" s="1031"/>
      <c r="AJ19" s="1031">
        <f>AH19+(4/24)</f>
        <v>2.6666666666666661</v>
      </c>
      <c r="AK19" s="1031"/>
      <c r="AL19" s="1031">
        <f>AJ19+(4/24)</f>
        <v>2.8333333333333326</v>
      </c>
      <c r="AM19" s="1031"/>
      <c r="AN19" s="1031">
        <f>AL19+(4/24)</f>
        <v>2.9999999999999991</v>
      </c>
      <c r="AO19" s="1031"/>
      <c r="AP19" s="1031">
        <f>AN19+(4/24)</f>
        <v>3.1666666666666656</v>
      </c>
      <c r="AQ19" s="1031"/>
      <c r="AR19" s="1031">
        <f>AP19+(4/24)</f>
        <v>3.3333333333333321</v>
      </c>
      <c r="AS19" s="1031"/>
      <c r="AT19" s="1031">
        <f>AR19+(4/24)</f>
        <v>3.4999999999999987</v>
      </c>
      <c r="AU19" s="1031"/>
      <c r="AV19" s="1031">
        <f>AT19+(4/24)</f>
        <v>3.6666666666666652</v>
      </c>
      <c r="AW19" s="1031"/>
      <c r="AX19" s="1031">
        <f>AV19+(4/24)</f>
        <v>3.8333333333333317</v>
      </c>
      <c r="AY19" s="1031"/>
      <c r="AZ19" s="1031">
        <f>AX19+(4/24)</f>
        <v>3.9999999999999982</v>
      </c>
      <c r="BA19" s="1031"/>
      <c r="BB19" s="1031">
        <f>AZ19+(4/24)</f>
        <v>4.1666666666666652</v>
      </c>
      <c r="BC19" s="1031"/>
      <c r="BD19" s="1031">
        <f>BB19+(4/24)</f>
        <v>4.3333333333333321</v>
      </c>
      <c r="BE19" s="1031"/>
      <c r="BF19" s="1031">
        <f>BD19+(4/24)</f>
        <v>4.4999999999999991</v>
      </c>
      <c r="BG19" s="1031"/>
      <c r="BH19" s="1031">
        <f>BF19+(4/24)</f>
        <v>4.6666666666666661</v>
      </c>
      <c r="BI19" s="1031"/>
      <c r="BJ19" s="1031">
        <f>BH19+(4/24)</f>
        <v>4.833333333333333</v>
      </c>
      <c r="BK19" s="1031"/>
      <c r="BL19" s="1031">
        <f>BJ19+(4/24)</f>
        <v>5</v>
      </c>
      <c r="BM19" s="1031"/>
      <c r="BN19" s="425"/>
      <c r="BO19" s="8"/>
      <c r="BP19" s="8"/>
      <c r="BQ19" s="8"/>
      <c r="BR19" s="8"/>
      <c r="BS19" s="8"/>
      <c r="BT19" s="8"/>
      <c r="BU19" s="8"/>
      <c r="BV19" s="8"/>
      <c r="CG19" s="128">
        <f t="shared" ca="1" si="0"/>
        <v>42680</v>
      </c>
      <c r="CH19" s="46">
        <v>0.41666666666666702</v>
      </c>
    </row>
    <row r="20" spans="1:86" x14ac:dyDescent="0.25">
      <c r="A20" s="6"/>
      <c r="B20" s="6"/>
      <c r="C20" s="1056" t="s">
        <v>349</v>
      </c>
      <c r="D20" s="1034">
        <v>0</v>
      </c>
      <c r="E20" s="1034"/>
      <c r="F20" s="1034">
        <f>D20+4</f>
        <v>4</v>
      </c>
      <c r="G20" s="1034"/>
      <c r="H20" s="1034">
        <f>F20+4</f>
        <v>8</v>
      </c>
      <c r="I20" s="1034"/>
      <c r="J20" s="1034">
        <f>H20+4</f>
        <v>12</v>
      </c>
      <c r="K20" s="1034"/>
      <c r="L20" s="1034">
        <f>J20+4</f>
        <v>16</v>
      </c>
      <c r="M20" s="1034"/>
      <c r="N20" s="1034">
        <f>L20+4</f>
        <v>20</v>
      </c>
      <c r="O20" s="1034"/>
      <c r="P20" s="1034">
        <f>N20+4</f>
        <v>24</v>
      </c>
      <c r="Q20" s="1034"/>
      <c r="R20" s="1034">
        <f>P20+4</f>
        <v>28</v>
      </c>
      <c r="S20" s="1034"/>
      <c r="T20" s="1034">
        <f>R20+4</f>
        <v>32</v>
      </c>
      <c r="U20" s="1034"/>
      <c r="V20" s="1034">
        <f>T20+4</f>
        <v>36</v>
      </c>
      <c r="W20" s="1034"/>
      <c r="X20" s="1034">
        <f>V20+4</f>
        <v>40</v>
      </c>
      <c r="Y20" s="1034"/>
      <c r="Z20" s="1034">
        <f>X20+4</f>
        <v>44</v>
      </c>
      <c r="AA20" s="1034"/>
      <c r="AB20" s="1034">
        <f>Z20+4</f>
        <v>48</v>
      </c>
      <c r="AC20" s="1034"/>
      <c r="AD20" s="1034">
        <f>AB20+4</f>
        <v>52</v>
      </c>
      <c r="AE20" s="1034"/>
      <c r="AF20" s="1034">
        <f>AD20+4</f>
        <v>56</v>
      </c>
      <c r="AG20" s="1034"/>
      <c r="AH20" s="1034">
        <f>AF20+4</f>
        <v>60</v>
      </c>
      <c r="AI20" s="1034"/>
      <c r="AJ20" s="1034">
        <f>AH20+4</f>
        <v>64</v>
      </c>
      <c r="AK20" s="1034"/>
      <c r="AL20" s="1034">
        <f>AJ20+4</f>
        <v>68</v>
      </c>
      <c r="AM20" s="1034"/>
      <c r="AN20" s="1034">
        <f>AL20+4</f>
        <v>72</v>
      </c>
      <c r="AO20" s="1034"/>
      <c r="AP20" s="1034">
        <f>AN20+4</f>
        <v>76</v>
      </c>
      <c r="AQ20" s="1034"/>
      <c r="AR20" s="1034">
        <f>AP20+4</f>
        <v>80</v>
      </c>
      <c r="AS20" s="1034"/>
      <c r="AT20" s="1034">
        <f>AR20+4</f>
        <v>84</v>
      </c>
      <c r="AU20" s="1034"/>
      <c r="AV20" s="1034">
        <f>AT20+4</f>
        <v>88</v>
      </c>
      <c r="AW20" s="1034"/>
      <c r="AX20" s="1034">
        <f>AV20+4</f>
        <v>92</v>
      </c>
      <c r="AY20" s="1034"/>
      <c r="AZ20" s="1034">
        <f>AX20+4</f>
        <v>96</v>
      </c>
      <c r="BA20" s="1034"/>
      <c r="BB20" s="1034">
        <f>AZ20+4</f>
        <v>100</v>
      </c>
      <c r="BC20" s="1034"/>
      <c r="BD20" s="1034">
        <f>BB20+4</f>
        <v>104</v>
      </c>
      <c r="BE20" s="1034"/>
      <c r="BF20" s="1034">
        <f>BD20+4</f>
        <v>108</v>
      </c>
      <c r="BG20" s="1034"/>
      <c r="BH20" s="1034">
        <f>BF20+4</f>
        <v>112</v>
      </c>
      <c r="BI20" s="1034"/>
      <c r="BJ20" s="1034">
        <f>BH20+4</f>
        <v>116</v>
      </c>
      <c r="BK20" s="1034"/>
      <c r="BL20" s="1034">
        <f>BJ20+4</f>
        <v>120</v>
      </c>
      <c r="BM20" s="1034"/>
      <c r="BN20" s="425"/>
      <c r="BO20" s="8"/>
      <c r="BP20" s="8"/>
      <c r="BQ20" s="8"/>
      <c r="BR20" s="8"/>
      <c r="BS20" s="8"/>
      <c r="BT20" s="8"/>
      <c r="BU20" s="8"/>
      <c r="BV20" s="8"/>
      <c r="CG20" s="128">
        <f t="shared" ca="1" si="0"/>
        <v>42679</v>
      </c>
      <c r="CH20" s="46">
        <v>0.45833333333333298</v>
      </c>
    </row>
    <row r="21" spans="1:86" s="3" customFormat="1" ht="13.5" customHeight="1" x14ac:dyDescent="0.25">
      <c r="A21" s="6"/>
      <c r="B21" s="6"/>
      <c r="C21" s="1056"/>
      <c r="D21" s="52"/>
      <c r="E21" s="52"/>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425"/>
      <c r="BO21" s="8"/>
      <c r="BP21" s="8"/>
      <c r="BQ21" s="8"/>
      <c r="BR21" s="8"/>
      <c r="BS21" s="8"/>
      <c r="BT21" s="8"/>
      <c r="BU21" s="8"/>
      <c r="BV21" s="8"/>
      <c r="CG21" s="128">
        <f t="shared" ca="1" si="0"/>
        <v>42678</v>
      </c>
      <c r="CH21" s="46">
        <v>0.5</v>
      </c>
    </row>
    <row r="22" spans="1:86" x14ac:dyDescent="0.25">
      <c r="A22" s="6"/>
      <c r="B22" s="6"/>
      <c r="C22" s="424"/>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425"/>
      <c r="BO22" s="8"/>
      <c r="BP22" s="8"/>
      <c r="BQ22" s="8"/>
      <c r="BR22" s="8"/>
      <c r="BS22" s="8"/>
      <c r="BT22" s="8"/>
      <c r="BU22" s="8"/>
      <c r="BV22" s="8"/>
      <c r="CG22" s="128">
        <f t="shared" ca="1" si="0"/>
        <v>42677</v>
      </c>
      <c r="CH22" s="46">
        <v>0.54166666666666696</v>
      </c>
    </row>
    <row r="23" spans="1:86" ht="36" customHeight="1" x14ac:dyDescent="0.25">
      <c r="A23" s="6"/>
      <c r="B23" s="6"/>
      <c r="C23" s="1018" t="s">
        <v>1</v>
      </c>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426"/>
      <c r="BO23" s="8"/>
      <c r="BP23" s="8"/>
      <c r="BQ23" s="8"/>
      <c r="BR23" s="8"/>
      <c r="BS23" s="8"/>
      <c r="BT23" s="8"/>
      <c r="BU23" s="9"/>
      <c r="BV23" s="9"/>
      <c r="CG23" s="128">
        <f t="shared" ca="1" si="0"/>
        <v>42676</v>
      </c>
      <c r="CH23" s="46">
        <v>0.58333333333333304</v>
      </c>
    </row>
    <row r="24" spans="1:86" ht="34.5" customHeight="1" x14ac:dyDescent="0.25">
      <c r="A24" s="6"/>
      <c r="B24" s="6"/>
      <c r="C24" s="1018"/>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425"/>
      <c r="BO24" s="8"/>
      <c r="BP24" s="8"/>
      <c r="BQ24" s="8"/>
      <c r="BR24" s="8"/>
      <c r="BS24" s="8"/>
      <c r="BT24" s="8"/>
      <c r="BU24" s="8"/>
      <c r="BV24" s="8"/>
      <c r="CG24" s="128">
        <f t="shared" ca="1" si="0"/>
        <v>42675</v>
      </c>
      <c r="CH24" s="46">
        <v>0.625</v>
      </c>
    </row>
    <row r="25" spans="1:86" x14ac:dyDescent="0.25">
      <c r="A25" s="6"/>
      <c r="B25" s="6"/>
      <c r="C25" s="424"/>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425"/>
      <c r="BO25" s="8"/>
      <c r="BP25" s="8"/>
      <c r="BQ25" s="8"/>
      <c r="BR25" s="8"/>
      <c r="BS25" s="8"/>
      <c r="BT25" s="8"/>
      <c r="BU25" s="8"/>
      <c r="BV25" s="8"/>
      <c r="CG25" s="128">
        <f t="shared" ca="1" si="0"/>
        <v>42674</v>
      </c>
      <c r="CH25" s="46">
        <v>0.66666666666666696</v>
      </c>
    </row>
    <row r="26" spans="1:86" x14ac:dyDescent="0.25">
      <c r="A26" s="6"/>
      <c r="B26" s="6"/>
      <c r="C26" s="424"/>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425"/>
      <c r="BO26" s="8"/>
      <c r="BP26" s="8"/>
      <c r="BQ26" s="8"/>
      <c r="BR26" s="8"/>
      <c r="BS26" s="8"/>
      <c r="BT26" s="8"/>
      <c r="BU26" s="8"/>
      <c r="BV26" s="8"/>
      <c r="CG26" s="128">
        <f t="shared" ca="1" si="0"/>
        <v>42673</v>
      </c>
      <c r="CH26" s="46">
        <v>0.70833333333333304</v>
      </c>
    </row>
    <row r="27" spans="1:86" ht="13.8" thickBot="1" x14ac:dyDescent="0.3">
      <c r="A27" s="6"/>
      <c r="B27" s="6"/>
      <c r="C27" s="430"/>
      <c r="D27" s="431"/>
      <c r="E27" s="431"/>
      <c r="F27" s="431"/>
      <c r="G27" s="431"/>
      <c r="H27" s="431"/>
      <c r="I27" s="431"/>
      <c r="J27" s="431"/>
      <c r="K27" s="431"/>
      <c r="L27" s="431"/>
      <c r="M27" s="431"/>
      <c r="N27" s="431"/>
      <c r="O27" s="431"/>
      <c r="P27" s="431"/>
      <c r="Q27" s="431"/>
      <c r="R27" s="431"/>
      <c r="S27" s="431"/>
      <c r="T27" s="431"/>
      <c r="U27" s="431"/>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c r="BB27" s="431"/>
      <c r="BC27" s="431"/>
      <c r="BD27" s="431"/>
      <c r="BE27" s="431"/>
      <c r="BF27" s="431"/>
      <c r="BG27" s="431"/>
      <c r="BH27" s="431"/>
      <c r="BI27" s="431"/>
      <c r="BJ27" s="431"/>
      <c r="BK27" s="431"/>
      <c r="BL27" s="431"/>
      <c r="BM27" s="431"/>
      <c r="BN27" s="432"/>
      <c r="BO27" s="8"/>
      <c r="BP27" s="8"/>
      <c r="BQ27" s="8"/>
      <c r="BR27" s="8"/>
      <c r="BS27" s="8"/>
      <c r="BT27" s="8"/>
      <c r="BU27" s="8"/>
      <c r="BV27" s="8"/>
      <c r="CG27" s="128">
        <f t="shared" ca="1" si="0"/>
        <v>42672</v>
      </c>
      <c r="CH27" s="46">
        <v>0.75</v>
      </c>
    </row>
    <row r="28" spans="1:86" ht="7.5" customHeight="1" x14ac:dyDescent="0.25">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8"/>
      <c r="BO28" s="8"/>
      <c r="BP28" s="8"/>
      <c r="BQ28" s="8"/>
      <c r="BR28" s="8"/>
      <c r="BS28" s="8"/>
      <c r="BT28" s="8"/>
      <c r="BU28" s="8"/>
      <c r="BV28" s="8"/>
      <c r="CG28" s="128">
        <f t="shared" ca="1" si="0"/>
        <v>42671</v>
      </c>
      <c r="CH28" s="46">
        <v>0.79166666666666696</v>
      </c>
    </row>
    <row r="29" spans="1:86" ht="5.25" customHeight="1" thickBot="1" x14ac:dyDescent="0.3">
      <c r="A29" s="6"/>
      <c r="B29" s="122"/>
      <c r="C29" s="123"/>
      <c r="D29" s="123"/>
      <c r="E29" s="123"/>
      <c r="F29" s="123"/>
      <c r="G29" s="123"/>
      <c r="H29" s="123"/>
      <c r="I29" s="123"/>
      <c r="J29" s="123"/>
      <c r="K29" s="123"/>
      <c r="L29" s="123"/>
      <c r="M29" s="124"/>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8"/>
      <c r="BO29" s="8"/>
      <c r="BP29" s="8"/>
      <c r="BQ29" s="8"/>
      <c r="BR29" s="8"/>
      <c r="BS29" s="8"/>
      <c r="BT29" s="8"/>
      <c r="BU29" s="8"/>
      <c r="BV29" s="8"/>
      <c r="CG29" s="128">
        <f t="shared" ca="1" si="0"/>
        <v>42670</v>
      </c>
      <c r="CH29" s="46">
        <v>0.83333333333333304</v>
      </c>
    </row>
    <row r="30" spans="1:86" ht="17.25" customHeight="1" thickBot="1" x14ac:dyDescent="0.3">
      <c r="A30" s="6"/>
      <c r="B30" s="433"/>
      <c r="C30" s="1032" t="s">
        <v>339</v>
      </c>
      <c r="D30" s="47"/>
      <c r="E30" s="1035" t="s">
        <v>343</v>
      </c>
      <c r="F30" s="1041"/>
      <c r="G30" s="1042"/>
      <c r="H30" s="47"/>
      <c r="I30" s="1048" t="s">
        <v>342</v>
      </c>
      <c r="J30" s="1049"/>
      <c r="K30" s="1049"/>
      <c r="L30" s="1050"/>
      <c r="M30" s="126"/>
      <c r="N30" s="6"/>
      <c r="O30" s="6"/>
      <c r="P30" s="6"/>
      <c r="Q30" s="6"/>
      <c r="R30" s="6"/>
      <c r="S30" s="6"/>
      <c r="T30" s="6"/>
      <c r="U30" s="47"/>
      <c r="V30" s="47"/>
      <c r="W30" s="47"/>
      <c r="X30" s="47"/>
      <c r="Y30" s="47"/>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8"/>
      <c r="BO30" s="8"/>
      <c r="BP30" s="8"/>
      <c r="BQ30" s="8"/>
      <c r="BR30" s="8"/>
      <c r="BS30" s="8"/>
      <c r="BT30" s="8"/>
      <c r="BU30" s="8"/>
      <c r="BV30" s="8"/>
      <c r="CG30" s="128">
        <f t="shared" ca="1" si="0"/>
        <v>42669</v>
      </c>
      <c r="CH30" s="46">
        <v>0.875</v>
      </c>
    </row>
    <row r="31" spans="1:86" ht="23.25" customHeight="1" thickBot="1" x14ac:dyDescent="0.3">
      <c r="A31" s="6"/>
      <c r="B31" s="433"/>
      <c r="C31" s="1032"/>
      <c r="D31" s="6"/>
      <c r="E31" s="1043"/>
      <c r="F31" s="1044"/>
      <c r="G31" s="1045"/>
      <c r="H31" s="47"/>
      <c r="I31" s="1051"/>
      <c r="J31" s="1052"/>
      <c r="K31" s="1052"/>
      <c r="L31" s="1053"/>
      <c r="M31" s="434"/>
      <c r="N31" s="6"/>
      <c r="O31" s="6"/>
      <c r="P31" s="6"/>
      <c r="Q31" s="6"/>
      <c r="R31" s="1020" t="s">
        <v>121</v>
      </c>
      <c r="S31" s="1021"/>
      <c r="T31" s="1022"/>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8"/>
      <c r="BO31" s="8"/>
      <c r="BP31" s="8"/>
      <c r="BQ31" s="8"/>
      <c r="BR31" s="8"/>
      <c r="BS31" s="8"/>
      <c r="BT31" s="8"/>
      <c r="BU31" s="8"/>
      <c r="BV31" s="8"/>
      <c r="CG31" s="128">
        <f t="shared" ca="1" si="0"/>
        <v>42668</v>
      </c>
      <c r="CH31" s="46">
        <v>0.91666666666666696</v>
      </c>
    </row>
    <row r="32" spans="1:86" ht="5.25" customHeight="1" x14ac:dyDescent="0.25">
      <c r="A32" s="6"/>
      <c r="B32" s="127"/>
      <c r="C32" s="7"/>
      <c r="D32" s="7"/>
      <c r="E32" s="7"/>
      <c r="F32" s="7"/>
      <c r="G32" s="7"/>
      <c r="H32" s="7"/>
      <c r="I32" s="7"/>
      <c r="J32" s="7"/>
      <c r="K32" s="7"/>
      <c r="L32" s="7"/>
      <c r="M32" s="125"/>
      <c r="N32" s="6"/>
      <c r="O32" s="6"/>
      <c r="P32" s="6"/>
      <c r="Q32" s="6"/>
      <c r="R32" s="1023"/>
      <c r="S32" s="1024"/>
      <c r="T32" s="1025"/>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8"/>
      <c r="BO32" s="8"/>
      <c r="BP32" s="8"/>
      <c r="BQ32" s="8"/>
      <c r="BR32" s="8"/>
      <c r="BS32" s="8"/>
      <c r="BT32" s="8"/>
      <c r="BU32" s="8"/>
      <c r="BV32" s="8"/>
      <c r="CG32" s="128">
        <f t="shared" ca="1" si="0"/>
        <v>42667</v>
      </c>
      <c r="CH32" s="46"/>
    </row>
    <row r="33" spans="1:86" ht="5.25" customHeight="1" x14ac:dyDescent="0.25">
      <c r="A33" s="6"/>
      <c r="B33" s="6"/>
      <c r="C33" s="6"/>
      <c r="D33" s="6"/>
      <c r="E33" s="6"/>
      <c r="F33" s="6"/>
      <c r="G33" s="6"/>
      <c r="H33" s="6"/>
      <c r="I33" s="6"/>
      <c r="J33" s="6"/>
      <c r="K33" s="6"/>
      <c r="L33" s="6"/>
      <c r="M33" s="6"/>
      <c r="N33" s="6"/>
      <c r="O33" s="6"/>
      <c r="P33" s="6"/>
      <c r="Q33" s="6"/>
      <c r="R33" s="1023"/>
      <c r="S33" s="1024"/>
      <c r="T33" s="1025"/>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8"/>
      <c r="BO33" s="8"/>
      <c r="BP33" s="8"/>
      <c r="BQ33" s="8"/>
      <c r="BR33" s="8"/>
      <c r="BS33" s="8"/>
      <c r="BT33" s="8"/>
      <c r="BU33" s="8"/>
      <c r="BV33" s="8"/>
      <c r="CG33" s="128">
        <f t="shared" ca="1" si="0"/>
        <v>42666</v>
      </c>
      <c r="CH33" s="46"/>
    </row>
    <row r="34" spans="1:86" ht="5.25" customHeight="1" thickBot="1" x14ac:dyDescent="0.3">
      <c r="A34" s="6"/>
      <c r="B34" s="122"/>
      <c r="C34" s="123"/>
      <c r="D34" s="123"/>
      <c r="E34" s="123"/>
      <c r="F34" s="123"/>
      <c r="G34" s="123"/>
      <c r="H34" s="123"/>
      <c r="I34" s="123"/>
      <c r="J34" s="123"/>
      <c r="K34" s="123"/>
      <c r="L34" s="124"/>
      <c r="M34" s="6"/>
      <c r="N34" s="6"/>
      <c r="O34" s="6"/>
      <c r="P34" s="6"/>
      <c r="Q34" s="6"/>
      <c r="R34" s="1023"/>
      <c r="S34" s="1024"/>
      <c r="T34" s="1025"/>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8"/>
      <c r="BO34" s="8"/>
      <c r="BP34" s="8"/>
      <c r="BQ34" s="8"/>
      <c r="BR34" s="8"/>
      <c r="BS34" s="8"/>
      <c r="BT34" s="8"/>
      <c r="BU34" s="8"/>
      <c r="BV34" s="8"/>
      <c r="CG34" s="128">
        <f t="shared" ca="1" si="0"/>
        <v>42665</v>
      </c>
      <c r="CH34" s="46"/>
    </row>
    <row r="35" spans="1:86" ht="20.100000000000001" customHeight="1" thickBot="1" x14ac:dyDescent="0.3">
      <c r="A35" s="6"/>
      <c r="B35" s="433"/>
      <c r="C35" s="1032" t="s">
        <v>346</v>
      </c>
      <c r="D35" s="47"/>
      <c r="E35" s="1035" t="s">
        <v>345</v>
      </c>
      <c r="F35" s="1036"/>
      <c r="G35" s="1037"/>
      <c r="H35" s="47"/>
      <c r="I35" s="1035" t="s">
        <v>347</v>
      </c>
      <c r="J35" s="1036"/>
      <c r="K35" s="1037"/>
      <c r="L35" s="126"/>
      <c r="M35" s="6"/>
      <c r="N35" s="6"/>
      <c r="O35" s="6"/>
      <c r="P35" s="6"/>
      <c r="Q35" s="6"/>
      <c r="R35" s="1026"/>
      <c r="S35" s="1027"/>
      <c r="T35" s="1028"/>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8"/>
      <c r="BO35" s="8"/>
      <c r="BP35" s="8"/>
      <c r="BQ35" s="8"/>
      <c r="BR35" s="8"/>
      <c r="BS35" s="8"/>
      <c r="BT35" s="8"/>
      <c r="BU35" s="8"/>
      <c r="BV35" s="8"/>
      <c r="CG35" s="128">
        <f t="shared" ca="1" si="0"/>
        <v>42664</v>
      </c>
      <c r="CH35" s="46"/>
    </row>
    <row r="36" spans="1:86" ht="20.100000000000001" customHeight="1" thickBot="1" x14ac:dyDescent="0.3">
      <c r="A36" s="6"/>
      <c r="B36" s="433"/>
      <c r="C36" s="1032"/>
      <c r="D36" s="6"/>
      <c r="E36" s="1038"/>
      <c r="F36" s="1039"/>
      <c r="G36" s="1040"/>
      <c r="H36" s="47"/>
      <c r="I36" s="1038"/>
      <c r="J36" s="1039"/>
      <c r="K36" s="1040"/>
      <c r="L36" s="12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8"/>
      <c r="BO36" s="8"/>
      <c r="BP36" s="8"/>
      <c r="BQ36" s="8"/>
      <c r="BR36" s="8"/>
      <c r="BS36" s="8"/>
      <c r="BT36" s="8"/>
      <c r="BU36" s="8"/>
      <c r="BV36" s="8"/>
      <c r="CG36" s="128">
        <f t="shared" ca="1" si="0"/>
        <v>42663</v>
      </c>
      <c r="CH36" s="46"/>
    </row>
    <row r="37" spans="1:86" ht="5.25" customHeight="1" x14ac:dyDescent="0.25">
      <c r="A37" s="6"/>
      <c r="B37" s="127"/>
      <c r="C37" s="7"/>
      <c r="D37" s="7"/>
      <c r="E37" s="7"/>
      <c r="F37" s="7"/>
      <c r="G37" s="7"/>
      <c r="H37" s="7"/>
      <c r="I37" s="7"/>
      <c r="J37" s="7"/>
      <c r="K37" s="7"/>
      <c r="L37" s="125"/>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8"/>
      <c r="BO37" s="8"/>
      <c r="BP37" s="8"/>
      <c r="BQ37" s="8"/>
      <c r="BR37" s="8"/>
      <c r="BS37" s="8"/>
      <c r="BT37" s="8"/>
      <c r="BU37" s="8"/>
      <c r="BV37" s="8"/>
      <c r="CG37" s="128">
        <f t="shared" ca="1" si="0"/>
        <v>42662</v>
      </c>
      <c r="CH37" s="46"/>
    </row>
    <row r="38" spans="1:86" ht="5.25" customHeight="1" x14ac:dyDescent="0.25">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8"/>
      <c r="BO38" s="8"/>
      <c r="BP38" s="8"/>
      <c r="BQ38" s="8"/>
      <c r="BR38" s="8"/>
      <c r="BS38" s="8"/>
      <c r="BT38" s="8"/>
      <c r="BU38" s="8"/>
      <c r="BV38" s="8"/>
      <c r="CG38" s="128">
        <f t="shared" ca="1" si="0"/>
        <v>42661</v>
      </c>
      <c r="CH38" s="46"/>
    </row>
    <row r="39" spans="1:86" x14ac:dyDescent="0.25">
      <c r="A39" s="6"/>
      <c r="B39" s="6"/>
      <c r="C39" s="1060"/>
      <c r="D39" s="1060"/>
      <c r="E39" s="1060"/>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8"/>
      <c r="BP39" s="8"/>
      <c r="BQ39" s="8"/>
      <c r="BR39" s="8"/>
      <c r="BS39" s="8"/>
      <c r="BT39" s="8"/>
      <c r="BU39" s="8"/>
      <c r="BV39" s="8"/>
      <c r="CG39" s="128">
        <f t="shared" ca="1" si="0"/>
        <v>42660</v>
      </c>
      <c r="CH39" s="46"/>
    </row>
    <row r="40" spans="1:86" s="42" customFormat="1" ht="24" customHeight="1" x14ac:dyDescent="0.25">
      <c r="A40" s="6"/>
      <c r="B40" s="6"/>
      <c r="C40" s="565"/>
      <c r="D40" s="1058"/>
      <c r="E40" s="1058"/>
      <c r="F40" s="1058"/>
      <c r="G40" s="1058"/>
      <c r="H40" s="1058"/>
      <c r="I40" s="1058"/>
      <c r="J40" s="1058"/>
      <c r="K40" s="1058"/>
      <c r="L40" s="1057"/>
      <c r="M40" s="1057"/>
      <c r="N40" s="1057"/>
      <c r="O40" s="1057"/>
      <c r="P40" s="1057"/>
      <c r="Q40" s="1057"/>
      <c r="R40" s="1057"/>
      <c r="S40" s="1057"/>
      <c r="T40" s="1057"/>
      <c r="U40" s="1057"/>
      <c r="V40" s="1057"/>
      <c r="W40" s="1057"/>
      <c r="X40" s="1057"/>
      <c r="Y40" s="1057"/>
      <c r="Z40" s="1057"/>
      <c r="AA40" s="1057"/>
      <c r="AB40" s="1057"/>
      <c r="AC40" s="1057"/>
      <c r="AD40" s="1057"/>
      <c r="AE40" s="1057"/>
      <c r="AF40" s="1057"/>
      <c r="AG40" s="1057"/>
      <c r="AH40" s="1057"/>
      <c r="AI40" s="1057"/>
      <c r="AJ40" s="1057"/>
      <c r="AK40" s="1057"/>
      <c r="AL40" s="1057"/>
      <c r="AM40" s="1057"/>
      <c r="AN40" s="1057"/>
      <c r="AO40" s="1057"/>
      <c r="AP40" s="1057"/>
      <c r="AQ40" s="1057"/>
      <c r="AR40" s="1057"/>
      <c r="AS40" s="1057"/>
      <c r="AT40" s="1057"/>
      <c r="AU40" s="1057"/>
      <c r="AV40" s="1057"/>
      <c r="AW40" s="1057"/>
      <c r="AX40" s="1057"/>
      <c r="AY40" s="1057"/>
      <c r="AZ40" s="1057"/>
      <c r="BA40" s="1057"/>
      <c r="BB40" s="1057"/>
      <c r="BC40" s="1057"/>
      <c r="BD40" s="1057"/>
      <c r="BE40" s="1057"/>
      <c r="BF40" s="1057"/>
      <c r="BG40" s="1057"/>
      <c r="BH40" s="1057"/>
      <c r="BI40" s="1057"/>
      <c r="BJ40" s="1057"/>
      <c r="BK40" s="1057"/>
      <c r="BL40" s="1057"/>
      <c r="BM40" s="1057"/>
      <c r="BN40" s="566"/>
      <c r="BO40" s="43"/>
      <c r="BP40" s="43"/>
      <c r="BQ40" s="43"/>
      <c r="BR40" s="43"/>
      <c r="BS40" s="43"/>
      <c r="BT40" s="43"/>
      <c r="BU40" s="43"/>
      <c r="BV40" s="43"/>
      <c r="CG40" s="128">
        <f t="shared" ca="1" si="0"/>
        <v>42659</v>
      </c>
      <c r="CH40" s="46"/>
    </row>
    <row r="41" spans="1:86" s="42" customFormat="1" ht="24" customHeight="1" x14ac:dyDescent="0.25">
      <c r="A41" s="6"/>
      <c r="B41" s="6"/>
      <c r="C41" s="565"/>
      <c r="D41" s="567"/>
      <c r="E41" s="567"/>
      <c r="F41" s="567"/>
      <c r="G41" s="567"/>
      <c r="H41" s="567"/>
      <c r="I41" s="567"/>
      <c r="J41" s="567"/>
      <c r="K41" s="567"/>
      <c r="L41" s="568"/>
      <c r="M41" s="568"/>
      <c r="N41" s="568"/>
      <c r="O41" s="568"/>
      <c r="P41" s="568"/>
      <c r="Q41" s="568"/>
      <c r="R41" s="568"/>
      <c r="S41" s="568"/>
      <c r="T41" s="568"/>
      <c r="U41" s="568"/>
      <c r="V41" s="568"/>
      <c r="W41" s="568"/>
      <c r="X41" s="568"/>
      <c r="Y41" s="568"/>
      <c r="Z41" s="568"/>
      <c r="AA41" s="568"/>
      <c r="AB41" s="568"/>
      <c r="AC41" s="568"/>
      <c r="AD41" s="568"/>
      <c r="AE41" s="568"/>
      <c r="AF41" s="568"/>
      <c r="AG41" s="568"/>
      <c r="AH41" s="568"/>
      <c r="AI41" s="568"/>
      <c r="AJ41" s="568"/>
      <c r="AK41" s="568"/>
      <c r="AL41" s="568"/>
      <c r="AM41" s="568"/>
      <c r="AN41" s="568"/>
      <c r="AO41" s="568"/>
      <c r="AP41" s="568"/>
      <c r="AQ41" s="568"/>
      <c r="AR41" s="568"/>
      <c r="AS41" s="568"/>
      <c r="AT41" s="568"/>
      <c r="AU41" s="568"/>
      <c r="AV41" s="568"/>
      <c r="AW41" s="568"/>
      <c r="AX41" s="568"/>
      <c r="AY41" s="568"/>
      <c r="AZ41" s="568"/>
      <c r="BA41" s="568"/>
      <c r="BB41" s="568"/>
      <c r="BC41" s="568"/>
      <c r="BD41" s="568"/>
      <c r="BE41" s="568"/>
      <c r="BF41" s="568"/>
      <c r="BG41" s="568"/>
      <c r="BH41" s="568"/>
      <c r="BI41" s="568"/>
      <c r="BJ41" s="568"/>
      <c r="BK41" s="568"/>
      <c r="BL41" s="568"/>
      <c r="BM41" s="568"/>
      <c r="BN41" s="566"/>
      <c r="BO41" s="43"/>
      <c r="BP41" s="43"/>
      <c r="BQ41" s="43"/>
      <c r="BR41" s="43"/>
      <c r="BS41" s="43"/>
      <c r="BT41" s="43"/>
      <c r="BU41" s="43"/>
      <c r="BV41" s="43"/>
      <c r="CG41" s="128">
        <f t="shared" ca="1" si="0"/>
        <v>42658</v>
      </c>
      <c r="CH41" s="46"/>
    </row>
    <row r="42" spans="1:86" ht="17.25" customHeight="1" x14ac:dyDescent="0.25">
      <c r="A42" s="6"/>
      <c r="B42" s="6"/>
      <c r="C42" s="569"/>
      <c r="D42" s="1059"/>
      <c r="E42" s="1059"/>
      <c r="F42" s="1059"/>
      <c r="G42" s="1059"/>
      <c r="H42" s="1059"/>
      <c r="I42" s="1059"/>
      <c r="J42" s="1059"/>
      <c r="K42" s="1059"/>
      <c r="L42" s="1059"/>
      <c r="M42" s="1059"/>
      <c r="N42" s="1059"/>
      <c r="O42" s="1059"/>
      <c r="P42" s="1059"/>
      <c r="Q42" s="1059"/>
      <c r="R42" s="1059"/>
      <c r="S42" s="1059"/>
      <c r="T42" s="1059"/>
      <c r="U42" s="1059"/>
      <c r="V42" s="1059"/>
      <c r="W42" s="1059"/>
      <c r="X42" s="1059"/>
      <c r="Y42" s="1059"/>
      <c r="Z42" s="1059"/>
      <c r="AA42" s="1059"/>
      <c r="AB42" s="1059"/>
      <c r="AC42" s="1059"/>
      <c r="AD42" s="1059"/>
      <c r="AE42" s="1059"/>
      <c r="AF42" s="1059"/>
      <c r="AG42" s="1059"/>
      <c r="AH42" s="1059"/>
      <c r="AI42" s="1059"/>
      <c r="AJ42" s="1059"/>
      <c r="AK42" s="1059"/>
      <c r="AL42" s="1059"/>
      <c r="AM42" s="1059"/>
      <c r="AN42" s="1059"/>
      <c r="AO42" s="1059"/>
      <c r="AP42" s="1059"/>
      <c r="AQ42" s="1059"/>
      <c r="AR42" s="1059"/>
      <c r="AS42" s="1059"/>
      <c r="AT42" s="1059"/>
      <c r="AU42" s="1059"/>
      <c r="AV42" s="1059"/>
      <c r="AW42" s="1059"/>
      <c r="AX42" s="1059"/>
      <c r="AY42" s="1059"/>
      <c r="AZ42" s="1059"/>
      <c r="BA42" s="1059"/>
      <c r="BB42" s="1059"/>
      <c r="BC42" s="1059"/>
      <c r="BD42" s="1059"/>
      <c r="BE42" s="1059"/>
      <c r="BF42" s="1059"/>
      <c r="BG42" s="1059"/>
      <c r="BH42" s="1059"/>
      <c r="BI42" s="1059"/>
      <c r="BJ42" s="1059"/>
      <c r="BK42" s="1059"/>
      <c r="BL42" s="1059"/>
      <c r="BM42" s="1059"/>
      <c r="BN42" s="570"/>
      <c r="BO42" s="10"/>
      <c r="BP42" s="10"/>
      <c r="BQ42" s="10"/>
      <c r="BR42" s="10"/>
      <c r="BS42" s="10"/>
      <c r="BT42" s="10"/>
      <c r="BU42" s="10"/>
      <c r="BV42" s="10"/>
      <c r="CG42" s="128">
        <f t="shared" ca="1" si="0"/>
        <v>42657</v>
      </c>
      <c r="CH42" s="46"/>
    </row>
    <row r="43" spans="1:86" ht="16.5" customHeight="1" x14ac:dyDescent="0.25">
      <c r="A43" s="6"/>
      <c r="B43" s="6"/>
      <c r="C43" s="569"/>
      <c r="D43" s="571"/>
      <c r="E43" s="571"/>
      <c r="F43" s="571"/>
      <c r="G43" s="571"/>
      <c r="H43" s="571"/>
      <c r="I43" s="571"/>
      <c r="J43" s="571"/>
      <c r="K43" s="571"/>
      <c r="L43" s="571"/>
      <c r="M43" s="571"/>
      <c r="N43" s="571"/>
      <c r="O43" s="571"/>
      <c r="P43" s="571"/>
      <c r="Q43" s="571"/>
      <c r="R43" s="571"/>
      <c r="S43" s="571"/>
      <c r="T43" s="571"/>
      <c r="U43" s="571"/>
      <c r="V43" s="571"/>
      <c r="W43" s="571"/>
      <c r="X43" s="571"/>
      <c r="Y43" s="571"/>
      <c r="Z43" s="571"/>
      <c r="AA43" s="571"/>
      <c r="AB43" s="571"/>
      <c r="AC43" s="571"/>
      <c r="AD43" s="571"/>
      <c r="AE43" s="571"/>
      <c r="AF43" s="571"/>
      <c r="AG43" s="571"/>
      <c r="AH43" s="571"/>
      <c r="AI43" s="571"/>
      <c r="AJ43" s="571"/>
      <c r="AK43" s="571"/>
      <c r="AL43" s="571"/>
      <c r="AM43" s="571"/>
      <c r="AN43" s="571"/>
      <c r="AO43" s="571"/>
      <c r="AP43" s="571"/>
      <c r="AQ43" s="571"/>
      <c r="AR43" s="571"/>
      <c r="AS43" s="571"/>
      <c r="AT43" s="571"/>
      <c r="AU43" s="571"/>
      <c r="AV43" s="571"/>
      <c r="AW43" s="571"/>
      <c r="AX43" s="571"/>
      <c r="AY43" s="571"/>
      <c r="AZ43" s="571"/>
      <c r="BA43" s="571"/>
      <c r="BB43" s="571"/>
      <c r="BC43" s="571"/>
      <c r="BD43" s="571"/>
      <c r="BE43" s="571"/>
      <c r="BF43" s="571"/>
      <c r="BG43" s="571"/>
      <c r="BH43" s="571"/>
      <c r="BI43" s="571"/>
      <c r="BJ43" s="571"/>
      <c r="BK43" s="571"/>
      <c r="BL43" s="571"/>
      <c r="BM43" s="571"/>
      <c r="BN43" s="6"/>
      <c r="BO43" s="8"/>
      <c r="BP43" s="8"/>
      <c r="BQ43" s="8"/>
      <c r="BR43" s="8"/>
      <c r="BS43" s="8"/>
      <c r="BT43" s="8"/>
      <c r="BU43" s="8"/>
      <c r="BV43" s="8"/>
      <c r="CG43" s="128">
        <f t="shared" ca="1" si="0"/>
        <v>42656</v>
      </c>
      <c r="CH43" s="46"/>
    </row>
    <row r="44" spans="1:86" x14ac:dyDescent="0.25">
      <c r="A44" s="6"/>
      <c r="B44" s="6"/>
      <c r="C44" s="570"/>
      <c r="D44" s="570"/>
      <c r="E44" s="570"/>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11"/>
      <c r="BP44" s="11"/>
      <c r="BQ44" s="11"/>
      <c r="BR44" s="11"/>
      <c r="BS44" s="11"/>
      <c r="BT44" s="11"/>
      <c r="BU44" s="11"/>
      <c r="BV44" s="11"/>
      <c r="CG44" s="128">
        <f t="shared" ca="1" si="0"/>
        <v>42655</v>
      </c>
      <c r="CH44" s="46"/>
    </row>
    <row r="45" spans="1:86" x14ac:dyDescent="0.2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CG45" s="128">
        <f ca="1">CG44-1</f>
        <v>42654</v>
      </c>
      <c r="CH45" s="46"/>
    </row>
    <row r="46" spans="1:86" x14ac:dyDescent="0.25">
      <c r="D46" s="44"/>
      <c r="E46" s="44"/>
      <c r="F46" s="44"/>
      <c r="G46" s="44"/>
      <c r="H46" s="44"/>
      <c r="I46" s="44"/>
      <c r="J46" s="44"/>
      <c r="CG46" s="128">
        <f t="shared" ca="1" si="0"/>
        <v>42653</v>
      </c>
      <c r="CH46" s="46"/>
    </row>
    <row r="47" spans="1:86" x14ac:dyDescent="0.25">
      <c r="CG47" s="128">
        <f t="shared" ca="1" si="0"/>
        <v>42652</v>
      </c>
      <c r="CH47" s="46"/>
    </row>
    <row r="48" spans="1:86" x14ac:dyDescent="0.25">
      <c r="CG48" s="128">
        <f t="shared" ca="1" si="0"/>
        <v>42651</v>
      </c>
      <c r="CH48" s="46"/>
    </row>
    <row r="49" spans="85:86" x14ac:dyDescent="0.25">
      <c r="CG49" s="128">
        <f t="shared" ca="1" si="0"/>
        <v>42650</v>
      </c>
      <c r="CH49" s="46"/>
    </row>
    <row r="50" spans="85:86" x14ac:dyDescent="0.25">
      <c r="CG50" s="128">
        <f t="shared" ca="1" si="0"/>
        <v>42649</v>
      </c>
      <c r="CH50" s="46"/>
    </row>
    <row r="51" spans="85:86" x14ac:dyDescent="0.25">
      <c r="CG51" s="128">
        <f t="shared" ca="1" si="0"/>
        <v>42648</v>
      </c>
      <c r="CH51" s="46"/>
    </row>
  </sheetData>
  <mergeCells count="173">
    <mergeCell ref="BD42:BE42"/>
    <mergeCell ref="BF42:BG42"/>
    <mergeCell ref="BH42:BI42"/>
    <mergeCell ref="BJ42:BK42"/>
    <mergeCell ref="BL42:BM42"/>
    <mergeCell ref="C39:E39"/>
    <mergeCell ref="BH40:BI40"/>
    <mergeCell ref="BJ40:BK40"/>
    <mergeCell ref="BL40:BM40"/>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R42:AS42"/>
    <mergeCell ref="AT42:AU42"/>
    <mergeCell ref="AV42:AW42"/>
    <mergeCell ref="AX42:AY42"/>
    <mergeCell ref="AZ42:BA42"/>
    <mergeCell ref="BB42:BC42"/>
    <mergeCell ref="AF42:AG42"/>
    <mergeCell ref="AH42:AI42"/>
    <mergeCell ref="AV40:AW40"/>
    <mergeCell ref="AX40:AY40"/>
    <mergeCell ref="AZ40:BA40"/>
    <mergeCell ref="BB40:BC40"/>
    <mergeCell ref="AJ42:AK42"/>
    <mergeCell ref="AL42:AM42"/>
    <mergeCell ref="AN42:AO42"/>
    <mergeCell ref="AP42:AQ42"/>
    <mergeCell ref="BD40:BE40"/>
    <mergeCell ref="BF40:BG40"/>
    <mergeCell ref="AJ40:AK40"/>
    <mergeCell ref="AL40:AM40"/>
    <mergeCell ref="AN40:AO40"/>
    <mergeCell ref="AP40:AQ40"/>
    <mergeCell ref="AR40:AS40"/>
    <mergeCell ref="AT40:AU40"/>
    <mergeCell ref="AP20:AQ20"/>
    <mergeCell ref="AR20:AS20"/>
    <mergeCell ref="BB20:BC20"/>
    <mergeCell ref="BD20:BE20"/>
    <mergeCell ref="BF20:BG20"/>
    <mergeCell ref="AN20:AO20"/>
    <mergeCell ref="D40:E40"/>
    <mergeCell ref="D42:E42"/>
    <mergeCell ref="F40:G40"/>
    <mergeCell ref="H40:I40"/>
    <mergeCell ref="J40:K40"/>
    <mergeCell ref="X40:Y40"/>
    <mergeCell ref="Z40:AA40"/>
    <mergeCell ref="AB40:AC40"/>
    <mergeCell ref="D20:E20"/>
    <mergeCell ref="AD40:AE40"/>
    <mergeCell ref="AF40:AG40"/>
    <mergeCell ref="AH40:AI40"/>
    <mergeCell ref="L40:M40"/>
    <mergeCell ref="N40:O40"/>
    <mergeCell ref="P40:Q40"/>
    <mergeCell ref="R40:S40"/>
    <mergeCell ref="T40:U40"/>
    <mergeCell ref="V40:W40"/>
    <mergeCell ref="BH20:BI20"/>
    <mergeCell ref="BJ20:BK20"/>
    <mergeCell ref="BL20:BM20"/>
    <mergeCell ref="AT20:AU20"/>
    <mergeCell ref="AV20:AW20"/>
    <mergeCell ref="AX20:AY20"/>
    <mergeCell ref="AZ20:BA20"/>
    <mergeCell ref="BB16:BC16"/>
    <mergeCell ref="BD16:BE16"/>
    <mergeCell ref="BF16:BG16"/>
    <mergeCell ref="BH16:BI16"/>
    <mergeCell ref="BJ16:BK16"/>
    <mergeCell ref="BL16:BM16"/>
    <mergeCell ref="AT16:AU16"/>
    <mergeCell ref="AV16:AW16"/>
    <mergeCell ref="AX16:AY16"/>
    <mergeCell ref="AZ16:BA16"/>
    <mergeCell ref="BL19:BM19"/>
    <mergeCell ref="C20:C21"/>
    <mergeCell ref="X20:Y20"/>
    <mergeCell ref="Z20:AA20"/>
    <mergeCell ref="AB20:AC20"/>
    <mergeCell ref="AD20:AE20"/>
    <mergeCell ref="AF20:AG20"/>
    <mergeCell ref="AH20:AI20"/>
    <mergeCell ref="AJ20:AK20"/>
    <mergeCell ref="AL20:AM20"/>
    <mergeCell ref="F20:G20"/>
    <mergeCell ref="H20:I20"/>
    <mergeCell ref="J20:K20"/>
    <mergeCell ref="L20:M20"/>
    <mergeCell ref="N20:O20"/>
    <mergeCell ref="P20:Q20"/>
    <mergeCell ref="R20:S20"/>
    <mergeCell ref="V20:W20"/>
    <mergeCell ref="AH16:AI16"/>
    <mergeCell ref="AJ16:AK16"/>
    <mergeCell ref="AL16:AM16"/>
    <mergeCell ref="AN16:AO16"/>
    <mergeCell ref="BF19:BG19"/>
    <mergeCell ref="BH19:BI19"/>
    <mergeCell ref="BJ19:BK19"/>
    <mergeCell ref="AT19:AU19"/>
    <mergeCell ref="AV19:AW19"/>
    <mergeCell ref="AX19:AY19"/>
    <mergeCell ref="AZ19:BA19"/>
    <mergeCell ref="BB19:BC19"/>
    <mergeCell ref="BD19:BE19"/>
    <mergeCell ref="AJ19:AK19"/>
    <mergeCell ref="AL19:AM19"/>
    <mergeCell ref="AN19:AO19"/>
    <mergeCell ref="AP19:AQ19"/>
    <mergeCell ref="AR19:AS19"/>
    <mergeCell ref="AP16:AQ16"/>
    <mergeCell ref="AR16:AS16"/>
    <mergeCell ref="AB19:AC19"/>
    <mergeCell ref="AD19:AE19"/>
    <mergeCell ref="AF19:AG19"/>
    <mergeCell ref="V16:W16"/>
    <mergeCell ref="X16:Y16"/>
    <mergeCell ref="Z16:AA16"/>
    <mergeCell ref="AB16:AC16"/>
    <mergeCell ref="Z19:AA19"/>
    <mergeCell ref="H16:I16"/>
    <mergeCell ref="J16:K16"/>
    <mergeCell ref="L16:M16"/>
    <mergeCell ref="N16:O16"/>
    <mergeCell ref="P16:Q16"/>
    <mergeCell ref="R16:S16"/>
    <mergeCell ref="T16:U16"/>
    <mergeCell ref="T19:U19"/>
    <mergeCell ref="V19:W19"/>
    <mergeCell ref="X19:Y19"/>
    <mergeCell ref="L19:M19"/>
    <mergeCell ref="N19:O19"/>
    <mergeCell ref="P19:Q19"/>
    <mergeCell ref="R19:S19"/>
    <mergeCell ref="AD16:AE16"/>
    <mergeCell ref="AF16:AG16"/>
    <mergeCell ref="C10:C11"/>
    <mergeCell ref="C12:C13"/>
    <mergeCell ref="C23:C24"/>
    <mergeCell ref="C2:W3"/>
    <mergeCell ref="R31:T35"/>
    <mergeCell ref="H6:I6"/>
    <mergeCell ref="AH19:AI19"/>
    <mergeCell ref="C30:C31"/>
    <mergeCell ref="C6:C7"/>
    <mergeCell ref="T20:U20"/>
    <mergeCell ref="C35:C36"/>
    <mergeCell ref="E35:G36"/>
    <mergeCell ref="E30:G31"/>
    <mergeCell ref="K6:M7"/>
    <mergeCell ref="O6:Q7"/>
    <mergeCell ref="D19:E19"/>
    <mergeCell ref="F19:G19"/>
    <mergeCell ref="H19:I19"/>
    <mergeCell ref="J19:K19"/>
    <mergeCell ref="D16:E16"/>
    <mergeCell ref="F16:G16"/>
    <mergeCell ref="I35:K36"/>
    <mergeCell ref="I30:L31"/>
    <mergeCell ref="H7:I7"/>
  </mergeCells>
  <phoneticPr fontId="0" type="noConversion"/>
  <conditionalFormatting sqref="D10:BM27">
    <cfRule type="cellIs" dxfId="17" priority="2" operator="equal">
      <formula>95</formula>
    </cfRule>
  </conditionalFormatting>
  <conditionalFormatting sqref="L40:BM41">
    <cfRule type="colorScale" priority="8">
      <colorScale>
        <cfvo type="min"/>
        <cfvo type="percentile" val="70"/>
        <cfvo type="max"/>
        <color rgb="FFF8696B"/>
        <color rgb="FFFFEB84"/>
        <color rgb="FF63BE7B"/>
      </colorScale>
    </cfRule>
  </conditionalFormatting>
  <dataValidations count="2">
    <dataValidation type="list" allowBlank="1" showInputMessage="1" showErrorMessage="1" sqref="H7:I7">
      <formula1>$CH$9:$CH$32</formula1>
    </dataValidation>
    <dataValidation type="list" sqref="H6:I6">
      <formula1>CG10:CG52</formula1>
    </dataValidation>
  </dataValidations>
  <hyperlinks>
    <hyperlink ref="O6:Q7" location="INCUBATION!A1" display="INCUBATION!A1"/>
    <hyperlink ref="K6:M7" location="CASE_COUNTS!B10" display="CASE_COUNTS!B10"/>
    <hyperlink ref="E30:G31" location="PEP_Decisions!A1" display="PEP_Decisions!A1"/>
    <hyperlink ref="I30:J31" location="PARAMETERS!B26" display="PARAMETERS!B26"/>
    <hyperlink ref="E35:G36" location="IMPACT_ON_HLTHCARE!A1" display="STEP 3.1) RELEASE TREATMENT GUIDANCE"/>
    <hyperlink ref="I30:L31" location="PEP_Decisions!A1" display="PEP_Decisions!A1"/>
    <hyperlink ref="I35:K36" location="IMPACT_ON_HLTHCARE!A1" display="STEP 3.2) TREATMENT EFFECTIVENESS"/>
    <hyperlink ref="R31" location="'TABLE OF CONTENTS'!A1" display="Table of Contents"/>
  </hyperlinks>
  <printOptions horizontalCentered="1" verticalCentered="1"/>
  <pageMargins left="0.75" right="0.75" top="1" bottom="1" header="0.5" footer="0.5"/>
  <pageSetup scale="81" pageOrder="overThenDown" orientation="landscape" r:id="rId1"/>
  <headerFooter alignWithMargins="0">
    <oddHeader>&amp;R&amp;P of &amp;N</oddHeader>
  </headerFooter>
  <colBreaks count="2" manualBreakCount="2">
    <brk id="29" min="3" max="32" man="1"/>
    <brk id="53" min="3" max="3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99"/>
  </sheetPr>
  <dimension ref="A1:V324"/>
  <sheetViews>
    <sheetView showGridLines="0" showRowColHeaders="0" zoomScaleNormal="100" workbookViewId="0">
      <pane ySplit="10" topLeftCell="A11" activePane="bottomLeft" state="frozen"/>
      <selection pane="bottomLeft" activeCell="D2" sqref="D2"/>
    </sheetView>
  </sheetViews>
  <sheetFormatPr defaultRowHeight="13.2" x14ac:dyDescent="0.25"/>
  <cols>
    <col min="1" max="1" width="1.6640625" customWidth="1"/>
    <col min="2" max="2" width="14.44140625" customWidth="1"/>
    <col min="3" max="3" width="23" style="78" customWidth="1"/>
    <col min="4" max="4" width="24.5546875" customWidth="1"/>
    <col min="5" max="5" width="23.6640625" style="78" customWidth="1"/>
    <col min="6" max="6" width="20" customWidth="1"/>
  </cols>
  <sheetData>
    <row r="1" spans="1:8" ht="15" customHeight="1" thickBot="1" x14ac:dyDescent="0.3">
      <c r="A1" s="55"/>
      <c r="B1" s="16"/>
      <c r="C1" s="57"/>
      <c r="D1" s="57"/>
      <c r="E1" s="16"/>
      <c r="F1" s="14"/>
    </row>
    <row r="2" spans="1:8" ht="51" customHeight="1" thickBot="1" x14ac:dyDescent="0.3">
      <c r="A2" s="55"/>
      <c r="B2" s="768" t="s">
        <v>121</v>
      </c>
      <c r="C2" s="250" t="s">
        <v>158</v>
      </c>
      <c r="D2" s="572" t="s">
        <v>499</v>
      </c>
      <c r="E2" s="251" t="s">
        <v>501</v>
      </c>
      <c r="F2" s="769" t="s">
        <v>504</v>
      </c>
    </row>
    <row r="3" spans="1:8" ht="8.25" customHeight="1" x14ac:dyDescent="0.25">
      <c r="A3" s="55"/>
      <c r="B3" s="16"/>
      <c r="C3" s="57"/>
      <c r="D3" s="57"/>
      <c r="E3" s="16"/>
      <c r="F3" s="613"/>
    </row>
    <row r="4" spans="1:8" ht="58.5" customHeight="1" x14ac:dyDescent="0.25">
      <c r="A4" s="55"/>
      <c r="B4" s="1063" t="s">
        <v>599</v>
      </c>
      <c r="C4" s="1063"/>
      <c r="D4" s="1063"/>
      <c r="E4" s="1063"/>
      <c r="F4" s="1063"/>
    </row>
    <row r="5" spans="1:8" ht="21" customHeight="1" x14ac:dyDescent="0.25">
      <c r="A5" s="55"/>
      <c r="B5" s="1063"/>
      <c r="C5" s="1063"/>
      <c r="D5" s="1063"/>
      <c r="E5" s="1063"/>
      <c r="F5" s="1063"/>
    </row>
    <row r="6" spans="1:8" ht="30" customHeight="1" x14ac:dyDescent="0.25">
      <c r="A6" s="55"/>
      <c r="B6" s="1063"/>
      <c r="C6" s="1063"/>
      <c r="D6" s="1063"/>
      <c r="E6" s="1063"/>
      <c r="F6" s="1063"/>
    </row>
    <row r="7" spans="1:8" ht="8.25" customHeight="1" thickBot="1" x14ac:dyDescent="0.3">
      <c r="F7" s="650"/>
    </row>
    <row r="8" spans="1:8" ht="18" customHeight="1" thickBot="1" x14ac:dyDescent="0.35">
      <c r="B8" s="799" t="s">
        <v>498</v>
      </c>
      <c r="C8" s="800"/>
      <c r="D8" s="800"/>
      <c r="E8" s="801"/>
      <c r="F8" s="650"/>
      <c r="G8" s="1064" t="s">
        <v>541</v>
      </c>
      <c r="H8" s="1065"/>
    </row>
    <row r="9" spans="1:8" ht="27" thickBot="1" x14ac:dyDescent="0.3">
      <c r="B9" s="1061" t="s">
        <v>159</v>
      </c>
      <c r="C9" s="642" t="s">
        <v>237</v>
      </c>
      <c r="D9" s="642" t="s">
        <v>239</v>
      </c>
      <c r="E9" s="643" t="s">
        <v>238</v>
      </c>
      <c r="G9" s="1066"/>
      <c r="H9" s="1067"/>
    </row>
    <row r="10" spans="1:8" x14ac:dyDescent="0.25">
      <c r="B10" s="1062"/>
      <c r="C10" s="145" t="s">
        <v>604</v>
      </c>
      <c r="D10" s="145" t="s">
        <v>604</v>
      </c>
      <c r="E10" s="145" t="s">
        <v>604</v>
      </c>
      <c r="F10" s="54"/>
    </row>
    <row r="11" spans="1:8" x14ac:dyDescent="0.25">
      <c r="B11" s="83">
        <f ca="1">TODAY()-80</f>
        <v>42609</v>
      </c>
      <c r="C11" s="146"/>
      <c r="D11" s="146"/>
      <c r="E11" s="644"/>
    </row>
    <row r="12" spans="1:8" ht="12.75" customHeight="1" x14ac:dyDescent="0.25">
      <c r="B12" s="84">
        <f t="shared" ref="B12:B43" ca="1" si="0">B11+1</f>
        <v>42610</v>
      </c>
      <c r="C12" s="147"/>
      <c r="D12" s="147"/>
      <c r="E12" s="645"/>
    </row>
    <row r="13" spans="1:8" x14ac:dyDescent="0.25">
      <c r="B13" s="84">
        <f t="shared" ca="1" si="0"/>
        <v>42611</v>
      </c>
      <c r="C13" s="147"/>
      <c r="D13" s="147"/>
      <c r="E13" s="645"/>
    </row>
    <row r="14" spans="1:8" ht="12.75" customHeight="1" x14ac:dyDescent="0.25">
      <c r="B14" s="84">
        <f t="shared" ca="1" si="0"/>
        <v>42612</v>
      </c>
      <c r="C14" s="147"/>
      <c r="D14" s="147"/>
      <c r="E14" s="645"/>
    </row>
    <row r="15" spans="1:8" ht="12.75" customHeight="1" x14ac:dyDescent="0.25">
      <c r="B15" s="84">
        <f t="shared" ca="1" si="0"/>
        <v>42613</v>
      </c>
      <c r="C15" s="147"/>
      <c r="D15" s="147"/>
      <c r="E15" s="645"/>
    </row>
    <row r="16" spans="1:8" ht="12.75" customHeight="1" x14ac:dyDescent="0.25">
      <c r="B16" s="84">
        <f t="shared" ca="1" si="0"/>
        <v>42614</v>
      </c>
      <c r="C16" s="147"/>
      <c r="D16" s="147"/>
      <c r="E16" s="645"/>
    </row>
    <row r="17" spans="2:22" x14ac:dyDescent="0.25">
      <c r="B17" s="84">
        <f t="shared" ca="1" si="0"/>
        <v>42615</v>
      </c>
      <c r="C17" s="147"/>
      <c r="D17" s="147"/>
      <c r="E17" s="645"/>
    </row>
    <row r="18" spans="2:22" ht="12.75" customHeight="1" x14ac:dyDescent="0.25">
      <c r="B18" s="84">
        <f t="shared" ca="1" si="0"/>
        <v>42616</v>
      </c>
      <c r="C18" s="147"/>
      <c r="D18" s="147"/>
      <c r="E18" s="645"/>
    </row>
    <row r="19" spans="2:22" ht="12.75" customHeight="1" x14ac:dyDescent="0.25">
      <c r="B19" s="84">
        <f t="shared" ca="1" si="0"/>
        <v>42617</v>
      </c>
      <c r="C19" s="147"/>
      <c r="D19" s="147"/>
      <c r="E19" s="645"/>
    </row>
    <row r="20" spans="2:22" x14ac:dyDescent="0.25">
      <c r="B20" s="84">
        <f t="shared" ca="1" si="0"/>
        <v>42618</v>
      </c>
      <c r="C20" s="147"/>
      <c r="D20" s="147"/>
      <c r="E20" s="645"/>
    </row>
    <row r="21" spans="2:22" x14ac:dyDescent="0.25">
      <c r="B21" s="84">
        <f t="shared" ca="1" si="0"/>
        <v>42619</v>
      </c>
      <c r="C21" s="147"/>
      <c r="D21" s="147"/>
      <c r="E21" s="645"/>
    </row>
    <row r="22" spans="2:22" x14ac:dyDescent="0.25">
      <c r="B22" s="84">
        <f t="shared" ca="1" si="0"/>
        <v>42620</v>
      </c>
      <c r="C22" s="147"/>
      <c r="D22" s="147"/>
      <c r="E22" s="645"/>
    </row>
    <row r="23" spans="2:22" x14ac:dyDescent="0.25">
      <c r="B23" s="84">
        <f t="shared" ca="1" si="0"/>
        <v>42621</v>
      </c>
      <c r="C23" s="147"/>
      <c r="D23" s="147"/>
      <c r="E23" s="645"/>
    </row>
    <row r="24" spans="2:22" x14ac:dyDescent="0.25">
      <c r="B24" s="84">
        <f t="shared" ca="1" si="0"/>
        <v>42622</v>
      </c>
      <c r="C24" s="147"/>
      <c r="D24" s="147"/>
      <c r="E24" s="645"/>
    </row>
    <row r="25" spans="2:22" x14ac:dyDescent="0.25">
      <c r="B25" s="84">
        <f t="shared" ca="1" si="0"/>
        <v>42623</v>
      </c>
      <c r="C25" s="147"/>
      <c r="D25" s="147"/>
      <c r="E25" s="645"/>
    </row>
    <row r="26" spans="2:22" ht="12.75" customHeight="1" x14ac:dyDescent="0.25">
      <c r="B26" s="84">
        <f t="shared" ca="1" si="0"/>
        <v>42624</v>
      </c>
      <c r="C26" s="147"/>
      <c r="D26" s="147"/>
      <c r="E26" s="645"/>
    </row>
    <row r="27" spans="2:22" x14ac:dyDescent="0.25">
      <c r="B27" s="84">
        <f t="shared" ca="1" si="0"/>
        <v>42625</v>
      </c>
      <c r="C27" s="147"/>
      <c r="D27" s="147"/>
      <c r="E27" s="645"/>
    </row>
    <row r="28" spans="2:22" x14ac:dyDescent="0.25">
      <c r="B28" s="84">
        <f t="shared" ca="1" si="0"/>
        <v>42626</v>
      </c>
      <c r="C28" s="147"/>
      <c r="D28" s="147"/>
      <c r="E28" s="645"/>
    </row>
    <row r="29" spans="2:22" x14ac:dyDescent="0.25">
      <c r="B29" s="84">
        <f t="shared" ca="1" si="0"/>
        <v>42627</v>
      </c>
      <c r="C29" s="147"/>
      <c r="D29" s="147"/>
      <c r="E29" s="645"/>
    </row>
    <row r="30" spans="2:22" x14ac:dyDescent="0.25">
      <c r="B30" s="84">
        <f t="shared" ca="1" si="0"/>
        <v>42628</v>
      </c>
      <c r="C30" s="147"/>
      <c r="D30" s="147"/>
      <c r="E30" s="645"/>
    </row>
    <row r="31" spans="2:22" x14ac:dyDescent="0.25">
      <c r="B31" s="84">
        <f t="shared" ca="1" si="0"/>
        <v>42629</v>
      </c>
      <c r="C31" s="147"/>
      <c r="D31" s="147"/>
      <c r="E31" s="645"/>
      <c r="G31" s="75"/>
      <c r="H31" s="75"/>
      <c r="I31" s="75"/>
      <c r="J31" s="75"/>
      <c r="K31" s="75"/>
      <c r="L31" s="75"/>
      <c r="M31" s="75"/>
      <c r="N31" s="75"/>
      <c r="O31" s="75"/>
      <c r="P31" s="75"/>
      <c r="Q31" s="75"/>
      <c r="R31" s="75"/>
      <c r="S31" s="75"/>
      <c r="T31" s="75"/>
      <c r="U31" s="75"/>
      <c r="V31" s="75"/>
    </row>
    <row r="32" spans="2:22" x14ac:dyDescent="0.25">
      <c r="B32" s="84">
        <f t="shared" ca="1" si="0"/>
        <v>42630</v>
      </c>
      <c r="C32" s="147"/>
      <c r="D32" s="147"/>
      <c r="E32" s="645"/>
      <c r="G32" s="75"/>
      <c r="H32" s="75"/>
      <c r="I32" s="75"/>
      <c r="J32" s="75"/>
      <c r="K32" s="75"/>
      <c r="L32" s="75"/>
      <c r="M32" s="75"/>
      <c r="N32" s="75"/>
      <c r="O32" s="75"/>
      <c r="P32" s="75"/>
      <c r="Q32" s="75"/>
      <c r="R32" s="75"/>
      <c r="S32" s="75"/>
      <c r="T32" s="75"/>
      <c r="U32" s="75"/>
      <c r="V32" s="75"/>
    </row>
    <row r="33" spans="2:22" x14ac:dyDescent="0.25">
      <c r="B33" s="84">
        <f t="shared" ca="1" si="0"/>
        <v>42631</v>
      </c>
      <c r="C33" s="147"/>
      <c r="D33" s="147"/>
      <c r="E33" s="645"/>
      <c r="G33" s="75"/>
      <c r="H33" s="75"/>
      <c r="I33" s="75"/>
      <c r="J33" s="75"/>
      <c r="K33" s="75"/>
      <c r="L33" s="75"/>
      <c r="M33" s="75"/>
      <c r="N33" s="75"/>
      <c r="O33" s="75"/>
      <c r="P33" s="75"/>
      <c r="Q33" s="75"/>
      <c r="R33" s="75"/>
      <c r="S33" s="75"/>
      <c r="T33" s="75"/>
      <c r="U33" s="75"/>
      <c r="V33" s="75"/>
    </row>
    <row r="34" spans="2:22" x14ac:dyDescent="0.25">
      <c r="B34" s="84">
        <f t="shared" ca="1" si="0"/>
        <v>42632</v>
      </c>
      <c r="C34" s="147"/>
      <c r="D34" s="147"/>
      <c r="E34" s="645"/>
      <c r="G34" s="75"/>
      <c r="H34" s="75"/>
      <c r="I34" s="75"/>
      <c r="J34" s="75"/>
      <c r="K34" s="75"/>
      <c r="L34" s="75"/>
      <c r="M34" s="75"/>
      <c r="N34" s="75"/>
      <c r="O34" s="75"/>
      <c r="P34" s="75"/>
      <c r="Q34" s="75"/>
      <c r="R34" s="75"/>
      <c r="S34" s="75"/>
      <c r="T34" s="75"/>
      <c r="U34" s="75"/>
      <c r="V34" s="75"/>
    </row>
    <row r="35" spans="2:22" x14ac:dyDescent="0.25">
      <c r="B35" s="84">
        <f t="shared" ca="1" si="0"/>
        <v>42633</v>
      </c>
      <c r="C35" s="147"/>
      <c r="D35" s="147"/>
      <c r="E35" s="645"/>
      <c r="G35" s="75"/>
      <c r="H35" s="75"/>
      <c r="I35" s="75"/>
      <c r="J35" s="75"/>
      <c r="K35" s="75"/>
      <c r="L35" s="75"/>
      <c r="M35" s="75"/>
      <c r="N35" s="75"/>
      <c r="O35" s="75"/>
      <c r="P35" s="75"/>
      <c r="Q35" s="75"/>
      <c r="R35" s="75"/>
      <c r="S35" s="75"/>
      <c r="T35" s="75"/>
      <c r="U35" s="75"/>
      <c r="V35" s="75"/>
    </row>
    <row r="36" spans="2:22" x14ac:dyDescent="0.25">
      <c r="B36" s="84">
        <f t="shared" ca="1" si="0"/>
        <v>42634</v>
      </c>
      <c r="C36" s="147"/>
      <c r="D36" s="147"/>
      <c r="E36" s="645"/>
    </row>
    <row r="37" spans="2:22" ht="12.75" customHeight="1" x14ac:dyDescent="0.25">
      <c r="B37" s="84">
        <f t="shared" ca="1" si="0"/>
        <v>42635</v>
      </c>
      <c r="C37" s="147"/>
      <c r="D37" s="147"/>
      <c r="E37" s="645"/>
    </row>
    <row r="38" spans="2:22" ht="12.75" customHeight="1" x14ac:dyDescent="0.25">
      <c r="B38" s="84">
        <f t="shared" ca="1" si="0"/>
        <v>42636</v>
      </c>
      <c r="C38" s="147"/>
      <c r="D38" s="147"/>
      <c r="E38" s="645"/>
    </row>
    <row r="39" spans="2:22" x14ac:dyDescent="0.25">
      <c r="B39" s="84">
        <f t="shared" ca="1" si="0"/>
        <v>42637</v>
      </c>
      <c r="C39" s="147"/>
      <c r="D39" s="147"/>
      <c r="E39" s="645"/>
    </row>
    <row r="40" spans="2:22" ht="12.75" customHeight="1" x14ac:dyDescent="0.25">
      <c r="B40" s="84">
        <f t="shared" ca="1" si="0"/>
        <v>42638</v>
      </c>
      <c r="C40" s="147"/>
      <c r="D40" s="147"/>
      <c r="E40" s="645"/>
    </row>
    <row r="41" spans="2:22" x14ac:dyDescent="0.25">
      <c r="B41" s="84">
        <f t="shared" ca="1" si="0"/>
        <v>42639</v>
      </c>
      <c r="C41" s="147"/>
      <c r="D41" s="147"/>
      <c r="E41" s="645"/>
    </row>
    <row r="42" spans="2:22" x14ac:dyDescent="0.25">
      <c r="B42" s="84">
        <f t="shared" ca="1" si="0"/>
        <v>42640</v>
      </c>
      <c r="C42" s="147"/>
      <c r="D42" s="147"/>
      <c r="E42" s="645"/>
    </row>
    <row r="43" spans="2:22" x14ac:dyDescent="0.25">
      <c r="B43" s="84">
        <f t="shared" ca="1" si="0"/>
        <v>42641</v>
      </c>
      <c r="C43" s="147"/>
      <c r="D43" s="147"/>
      <c r="E43" s="645"/>
    </row>
    <row r="44" spans="2:22" x14ac:dyDescent="0.25">
      <c r="B44" s="84">
        <f t="shared" ref="B44:B75" ca="1" si="1">B43+1</f>
        <v>42642</v>
      </c>
      <c r="C44" s="147"/>
      <c r="D44" s="147"/>
      <c r="E44" s="645"/>
    </row>
    <row r="45" spans="2:22" x14ac:dyDescent="0.25">
      <c r="B45" s="84">
        <f t="shared" ca="1" si="1"/>
        <v>42643</v>
      </c>
      <c r="C45" s="147"/>
      <c r="D45" s="147"/>
      <c r="E45" s="645"/>
    </row>
    <row r="46" spans="2:22" x14ac:dyDescent="0.25">
      <c r="B46" s="84">
        <f t="shared" ca="1" si="1"/>
        <v>42644</v>
      </c>
      <c r="C46" s="147"/>
      <c r="D46" s="147"/>
      <c r="E46" s="645"/>
    </row>
    <row r="47" spans="2:22" x14ac:dyDescent="0.25">
      <c r="B47" s="84">
        <f t="shared" ca="1" si="1"/>
        <v>42645</v>
      </c>
      <c r="C47" s="147"/>
      <c r="D47" s="147"/>
      <c r="E47" s="645"/>
    </row>
    <row r="48" spans="2:22" x14ac:dyDescent="0.25">
      <c r="B48" s="84">
        <f t="shared" ca="1" si="1"/>
        <v>42646</v>
      </c>
      <c r="C48" s="147"/>
      <c r="D48" s="147"/>
      <c r="E48" s="645"/>
    </row>
    <row r="49" spans="2:6" x14ac:dyDescent="0.25">
      <c r="B49" s="84">
        <f t="shared" ca="1" si="1"/>
        <v>42647</v>
      </c>
      <c r="C49" s="147"/>
      <c r="D49" s="147"/>
      <c r="E49" s="645"/>
    </row>
    <row r="50" spans="2:6" x14ac:dyDescent="0.25">
      <c r="B50" s="84">
        <f t="shared" ca="1" si="1"/>
        <v>42648</v>
      </c>
      <c r="C50" s="147"/>
      <c r="D50" s="147"/>
      <c r="E50" s="645"/>
    </row>
    <row r="51" spans="2:6" x14ac:dyDescent="0.25">
      <c r="B51" s="84">
        <f t="shared" ca="1" si="1"/>
        <v>42649</v>
      </c>
      <c r="C51" s="147"/>
      <c r="D51" s="147"/>
      <c r="E51" s="645"/>
    </row>
    <row r="52" spans="2:6" x14ac:dyDescent="0.25">
      <c r="B52" s="84">
        <f t="shared" ca="1" si="1"/>
        <v>42650</v>
      </c>
      <c r="C52" s="147"/>
      <c r="D52" s="147"/>
      <c r="E52" s="645"/>
    </row>
    <row r="53" spans="2:6" x14ac:dyDescent="0.25">
      <c r="B53" s="84">
        <f t="shared" ca="1" si="1"/>
        <v>42651</v>
      </c>
      <c r="C53" s="147"/>
      <c r="D53" s="147"/>
      <c r="E53" s="645"/>
    </row>
    <row r="54" spans="2:6" x14ac:dyDescent="0.25">
      <c r="B54" s="84">
        <f t="shared" ca="1" si="1"/>
        <v>42652</v>
      </c>
      <c r="C54" s="147"/>
      <c r="D54" s="147"/>
      <c r="E54" s="645"/>
    </row>
    <row r="55" spans="2:6" x14ac:dyDescent="0.25">
      <c r="B55" s="84">
        <f t="shared" ca="1" si="1"/>
        <v>42653</v>
      </c>
      <c r="C55" s="147"/>
      <c r="D55" s="147"/>
      <c r="E55" s="645"/>
    </row>
    <row r="56" spans="2:6" x14ac:dyDescent="0.25">
      <c r="B56" s="84">
        <f t="shared" ca="1" si="1"/>
        <v>42654</v>
      </c>
      <c r="C56" s="147"/>
      <c r="D56" s="147"/>
      <c r="E56" s="645"/>
    </row>
    <row r="57" spans="2:6" x14ac:dyDescent="0.25">
      <c r="B57" s="84">
        <f t="shared" ca="1" si="1"/>
        <v>42655</v>
      </c>
      <c r="C57" s="147"/>
      <c r="D57" s="147"/>
      <c r="E57" s="645"/>
      <c r="F57" s="648"/>
    </row>
    <row r="58" spans="2:6" x14ac:dyDescent="0.25">
      <c r="B58" s="84">
        <f t="shared" ca="1" si="1"/>
        <v>42656</v>
      </c>
      <c r="C58" s="147"/>
      <c r="D58" s="147"/>
      <c r="E58" s="645"/>
      <c r="F58" s="648"/>
    </row>
    <row r="59" spans="2:6" x14ac:dyDescent="0.25">
      <c r="B59" s="84">
        <f t="shared" ca="1" si="1"/>
        <v>42657</v>
      </c>
      <c r="C59" s="147"/>
      <c r="D59" s="147"/>
      <c r="E59" s="645"/>
      <c r="F59" s="648"/>
    </row>
    <row r="60" spans="2:6" x14ac:dyDescent="0.25">
      <c r="B60" s="84">
        <f t="shared" ca="1" si="1"/>
        <v>42658</v>
      </c>
      <c r="C60" s="147"/>
      <c r="D60" s="147"/>
      <c r="E60" s="645"/>
      <c r="F60" s="648"/>
    </row>
    <row r="61" spans="2:6" x14ac:dyDescent="0.25">
      <c r="B61" s="84">
        <f t="shared" ca="1" si="1"/>
        <v>42659</v>
      </c>
      <c r="C61" s="147"/>
      <c r="D61" s="147"/>
      <c r="E61" s="645"/>
      <c r="F61" s="648"/>
    </row>
    <row r="62" spans="2:6" x14ac:dyDescent="0.25">
      <c r="B62" s="84">
        <f t="shared" ca="1" si="1"/>
        <v>42660</v>
      </c>
      <c r="C62" s="147"/>
      <c r="D62" s="147"/>
      <c r="E62" s="645"/>
      <c r="F62" s="648"/>
    </row>
    <row r="63" spans="2:6" x14ac:dyDescent="0.25">
      <c r="B63" s="84">
        <f t="shared" ca="1" si="1"/>
        <v>42661</v>
      </c>
      <c r="C63" s="147"/>
      <c r="D63" s="147"/>
      <c r="E63" s="645"/>
      <c r="F63" s="648"/>
    </row>
    <row r="64" spans="2:6" x14ac:dyDescent="0.25">
      <c r="B64" s="84">
        <f t="shared" ca="1" si="1"/>
        <v>42662</v>
      </c>
      <c r="C64" s="147"/>
      <c r="D64" s="147"/>
      <c r="E64" s="645"/>
      <c r="F64" s="648"/>
    </row>
    <row r="65" spans="2:6" x14ac:dyDescent="0.25">
      <c r="B65" s="84">
        <f t="shared" ca="1" si="1"/>
        <v>42663</v>
      </c>
      <c r="C65" s="147"/>
      <c r="D65" s="147"/>
      <c r="E65" s="645"/>
      <c r="F65" s="648"/>
    </row>
    <row r="66" spans="2:6" x14ac:dyDescent="0.25">
      <c r="B66" s="84">
        <f t="shared" ca="1" si="1"/>
        <v>42664</v>
      </c>
      <c r="C66" s="147"/>
      <c r="D66" s="147"/>
      <c r="E66" s="645"/>
      <c r="F66" s="648"/>
    </row>
    <row r="67" spans="2:6" x14ac:dyDescent="0.25">
      <c r="B67" s="84">
        <f t="shared" ca="1" si="1"/>
        <v>42665</v>
      </c>
      <c r="C67" s="147"/>
      <c r="D67" s="147"/>
      <c r="E67" s="645"/>
      <c r="F67" s="648"/>
    </row>
    <row r="68" spans="2:6" x14ac:dyDescent="0.25">
      <c r="B68" s="84">
        <f t="shared" ca="1" si="1"/>
        <v>42666</v>
      </c>
      <c r="C68" s="147"/>
      <c r="D68" s="147"/>
      <c r="E68" s="645"/>
      <c r="F68" s="648"/>
    </row>
    <row r="69" spans="2:6" x14ac:dyDescent="0.25">
      <c r="B69" s="84">
        <f t="shared" ca="1" si="1"/>
        <v>42667</v>
      </c>
      <c r="C69" s="147"/>
      <c r="D69" s="147"/>
      <c r="E69" s="645"/>
      <c r="F69" s="648"/>
    </row>
    <row r="70" spans="2:6" x14ac:dyDescent="0.25">
      <c r="B70" s="84">
        <f t="shared" ca="1" si="1"/>
        <v>42668</v>
      </c>
      <c r="C70" s="147"/>
      <c r="D70" s="147"/>
      <c r="E70" s="645"/>
      <c r="F70" s="648"/>
    </row>
    <row r="71" spans="2:6" x14ac:dyDescent="0.25">
      <c r="B71" s="84">
        <f t="shared" ca="1" si="1"/>
        <v>42669</v>
      </c>
      <c r="C71" s="147"/>
      <c r="D71" s="147"/>
      <c r="E71" s="645"/>
      <c r="F71" s="648"/>
    </row>
    <row r="72" spans="2:6" x14ac:dyDescent="0.25">
      <c r="B72" s="84">
        <f t="shared" ca="1" si="1"/>
        <v>42670</v>
      </c>
      <c r="C72" s="147"/>
      <c r="D72" s="147"/>
      <c r="E72" s="645"/>
      <c r="F72" s="648"/>
    </row>
    <row r="73" spans="2:6" x14ac:dyDescent="0.25">
      <c r="B73" s="84">
        <f t="shared" ca="1" si="1"/>
        <v>42671</v>
      </c>
      <c r="C73" s="147"/>
      <c r="D73" s="147"/>
      <c r="E73" s="645"/>
      <c r="F73" s="648"/>
    </row>
    <row r="74" spans="2:6" x14ac:dyDescent="0.25">
      <c r="B74" s="84">
        <f t="shared" ca="1" si="1"/>
        <v>42672</v>
      </c>
      <c r="C74" s="147"/>
      <c r="D74" s="147"/>
      <c r="E74" s="645"/>
      <c r="F74" s="648"/>
    </row>
    <row r="75" spans="2:6" x14ac:dyDescent="0.25">
      <c r="B75" s="84">
        <f t="shared" ca="1" si="1"/>
        <v>42673</v>
      </c>
      <c r="C75" s="147"/>
      <c r="D75" s="147"/>
      <c r="E75" s="645"/>
      <c r="F75" s="648"/>
    </row>
    <row r="76" spans="2:6" x14ac:dyDescent="0.25">
      <c r="B76" s="84">
        <f t="shared" ref="B76:B107" ca="1" si="2">B75+1</f>
        <v>42674</v>
      </c>
      <c r="C76" s="147"/>
      <c r="D76" s="147"/>
      <c r="E76" s="645"/>
      <c r="F76" s="648"/>
    </row>
    <row r="77" spans="2:6" x14ac:dyDescent="0.25">
      <c r="B77" s="84">
        <f t="shared" ca="1" si="2"/>
        <v>42675</v>
      </c>
      <c r="C77" s="147"/>
      <c r="D77" s="147"/>
      <c r="E77" s="645"/>
      <c r="F77" s="648"/>
    </row>
    <row r="78" spans="2:6" x14ac:dyDescent="0.25">
      <c r="B78" s="84">
        <f t="shared" ca="1" si="2"/>
        <v>42676</v>
      </c>
      <c r="C78" s="147"/>
      <c r="D78" s="147"/>
      <c r="E78" s="645"/>
      <c r="F78" s="648"/>
    </row>
    <row r="79" spans="2:6" x14ac:dyDescent="0.25">
      <c r="B79" s="84">
        <f t="shared" ca="1" si="2"/>
        <v>42677</v>
      </c>
      <c r="C79" s="147"/>
      <c r="D79" s="147"/>
      <c r="E79" s="645"/>
      <c r="F79" s="648"/>
    </row>
    <row r="80" spans="2:6" x14ac:dyDescent="0.25">
      <c r="B80" s="84">
        <f t="shared" ca="1" si="2"/>
        <v>42678</v>
      </c>
      <c r="C80" s="147"/>
      <c r="D80" s="147"/>
      <c r="E80" s="645"/>
      <c r="F80" s="648"/>
    </row>
    <row r="81" spans="2:7" x14ac:dyDescent="0.25">
      <c r="B81" s="84">
        <f t="shared" ca="1" si="2"/>
        <v>42679</v>
      </c>
      <c r="C81" s="147"/>
      <c r="D81" s="147"/>
      <c r="E81" s="645"/>
      <c r="F81" s="648"/>
    </row>
    <row r="82" spans="2:7" x14ac:dyDescent="0.25">
      <c r="B82" s="84">
        <f t="shared" ca="1" si="2"/>
        <v>42680</v>
      </c>
      <c r="C82" s="147"/>
      <c r="D82" s="147"/>
      <c r="E82" s="645"/>
      <c r="F82" s="648"/>
    </row>
    <row r="83" spans="2:7" x14ac:dyDescent="0.25">
      <c r="B83" s="84">
        <f t="shared" ca="1" si="2"/>
        <v>42681</v>
      </c>
      <c r="C83" s="147"/>
      <c r="D83" s="147"/>
      <c r="E83" s="645"/>
      <c r="F83" s="648"/>
    </row>
    <row r="84" spans="2:7" x14ac:dyDescent="0.25">
      <c r="B84" s="84">
        <f t="shared" ca="1" si="2"/>
        <v>42682</v>
      </c>
      <c r="C84" s="147"/>
      <c r="D84" s="147"/>
      <c r="E84" s="645"/>
      <c r="F84" s="648"/>
    </row>
    <row r="85" spans="2:7" x14ac:dyDescent="0.25">
      <c r="B85" s="84">
        <f t="shared" ca="1" si="2"/>
        <v>42683</v>
      </c>
      <c r="C85" s="147"/>
      <c r="D85" s="147"/>
      <c r="E85" s="645"/>
      <c r="F85" s="648"/>
    </row>
    <row r="86" spans="2:7" x14ac:dyDescent="0.25">
      <c r="B86" s="84">
        <f t="shared" ca="1" si="2"/>
        <v>42684</v>
      </c>
      <c r="C86" s="147"/>
      <c r="D86" s="147"/>
      <c r="E86" s="645"/>
      <c r="F86" s="648"/>
    </row>
    <row r="87" spans="2:7" x14ac:dyDescent="0.25">
      <c r="B87" s="84">
        <f t="shared" ca="1" si="2"/>
        <v>42685</v>
      </c>
      <c r="C87" s="147"/>
      <c r="D87" s="147"/>
      <c r="E87" s="645"/>
      <c r="F87" s="648"/>
    </row>
    <row r="88" spans="2:7" x14ac:dyDescent="0.25">
      <c r="B88" s="84">
        <f t="shared" ca="1" si="2"/>
        <v>42686</v>
      </c>
      <c r="C88" s="147"/>
      <c r="D88" s="147"/>
      <c r="E88" s="645"/>
      <c r="F88" s="648"/>
    </row>
    <row r="89" spans="2:7" x14ac:dyDescent="0.25">
      <c r="B89" s="84">
        <f t="shared" ca="1" si="2"/>
        <v>42687</v>
      </c>
      <c r="C89" s="147"/>
      <c r="D89" s="147"/>
      <c r="E89" s="645"/>
      <c r="F89" s="648"/>
    </row>
    <row r="90" spans="2:7" x14ac:dyDescent="0.25">
      <c r="B90" s="84">
        <f t="shared" ca="1" si="2"/>
        <v>42688</v>
      </c>
      <c r="C90" s="147"/>
      <c r="D90" s="147"/>
      <c r="E90" s="645"/>
      <c r="F90" s="648"/>
      <c r="G90" s="597"/>
    </row>
    <row r="91" spans="2:7" x14ac:dyDescent="0.25">
      <c r="B91" s="84">
        <f t="shared" ca="1" si="2"/>
        <v>42689</v>
      </c>
      <c r="C91" s="311"/>
      <c r="D91" s="311"/>
      <c r="E91" s="645"/>
      <c r="F91" s="648"/>
    </row>
    <row r="92" spans="2:7" x14ac:dyDescent="0.25">
      <c r="B92" s="84">
        <f t="shared" ca="1" si="2"/>
        <v>42690</v>
      </c>
      <c r="C92" s="147"/>
      <c r="D92" s="147"/>
      <c r="E92" s="645"/>
      <c r="F92" s="648"/>
    </row>
    <row r="93" spans="2:7" x14ac:dyDescent="0.25">
      <c r="B93" s="84">
        <f t="shared" ca="1" si="2"/>
        <v>42691</v>
      </c>
      <c r="C93" s="147"/>
      <c r="D93" s="147"/>
      <c r="E93" s="645"/>
      <c r="F93" s="648"/>
    </row>
    <row r="94" spans="2:7" x14ac:dyDescent="0.25">
      <c r="B94" s="84">
        <f t="shared" ca="1" si="2"/>
        <v>42692</v>
      </c>
      <c r="C94" s="147"/>
      <c r="D94" s="147"/>
      <c r="E94" s="645"/>
      <c r="F94" s="648"/>
    </row>
    <row r="95" spans="2:7" x14ac:dyDescent="0.25">
      <c r="B95" s="84">
        <f t="shared" ca="1" si="2"/>
        <v>42693</v>
      </c>
      <c r="C95" s="147"/>
      <c r="D95" s="147"/>
      <c r="E95" s="645"/>
      <c r="F95" s="648"/>
    </row>
    <row r="96" spans="2:7" x14ac:dyDescent="0.25">
      <c r="B96" s="84">
        <f t="shared" ca="1" si="2"/>
        <v>42694</v>
      </c>
      <c r="C96" s="147"/>
      <c r="D96" s="147"/>
      <c r="E96" s="645"/>
    </row>
    <row r="97" spans="2:6" x14ac:dyDescent="0.25">
      <c r="B97" s="84">
        <f t="shared" ca="1" si="2"/>
        <v>42695</v>
      </c>
      <c r="C97" s="147"/>
      <c r="D97" s="147"/>
      <c r="E97" s="645"/>
    </row>
    <row r="98" spans="2:6" x14ac:dyDescent="0.25">
      <c r="B98" s="84">
        <f t="shared" ca="1" si="2"/>
        <v>42696</v>
      </c>
      <c r="C98" s="147"/>
      <c r="D98" s="147"/>
      <c r="E98" s="645"/>
      <c r="F98" s="387"/>
    </row>
    <row r="99" spans="2:6" x14ac:dyDescent="0.25">
      <c r="B99" s="84">
        <f t="shared" ca="1" si="2"/>
        <v>42697</v>
      </c>
      <c r="C99" s="147"/>
      <c r="D99" s="147"/>
      <c r="E99" s="645"/>
      <c r="F99" s="387"/>
    </row>
    <row r="100" spans="2:6" x14ac:dyDescent="0.25">
      <c r="B100" s="84">
        <f t="shared" ca="1" si="2"/>
        <v>42698</v>
      </c>
      <c r="C100" s="147"/>
      <c r="D100" s="147"/>
      <c r="E100" s="645"/>
      <c r="F100" s="387"/>
    </row>
    <row r="101" spans="2:6" x14ac:dyDescent="0.25">
      <c r="B101" s="84">
        <f t="shared" ca="1" si="2"/>
        <v>42699</v>
      </c>
      <c r="C101" s="147"/>
      <c r="D101" s="147"/>
      <c r="E101" s="645"/>
      <c r="F101" s="387"/>
    </row>
    <row r="102" spans="2:6" x14ac:dyDescent="0.25">
      <c r="B102" s="84">
        <f t="shared" ca="1" si="2"/>
        <v>42700</v>
      </c>
      <c r="C102" s="147"/>
      <c r="D102" s="147"/>
      <c r="E102" s="645"/>
      <c r="F102" s="648"/>
    </row>
    <row r="103" spans="2:6" x14ac:dyDescent="0.25">
      <c r="B103" s="84">
        <f t="shared" ca="1" si="2"/>
        <v>42701</v>
      </c>
      <c r="C103" s="147"/>
      <c r="D103" s="147"/>
      <c r="E103" s="645"/>
      <c r="F103" s="648"/>
    </row>
    <row r="104" spans="2:6" x14ac:dyDescent="0.25">
      <c r="B104" s="84">
        <f t="shared" ca="1" si="2"/>
        <v>42702</v>
      </c>
      <c r="C104" s="147"/>
      <c r="D104" s="147"/>
      <c r="E104" s="645"/>
      <c r="F104" s="648"/>
    </row>
    <row r="105" spans="2:6" x14ac:dyDescent="0.25">
      <c r="B105" s="84">
        <f t="shared" ca="1" si="2"/>
        <v>42703</v>
      </c>
      <c r="C105" s="147"/>
      <c r="D105" s="147"/>
      <c r="E105" s="645"/>
      <c r="F105" s="648"/>
    </row>
    <row r="106" spans="2:6" x14ac:dyDescent="0.25">
      <c r="B106" s="84">
        <f t="shared" ca="1" si="2"/>
        <v>42704</v>
      </c>
      <c r="C106" s="147"/>
      <c r="D106" s="147"/>
      <c r="E106" s="645"/>
      <c r="F106" s="648"/>
    </row>
    <row r="107" spans="2:6" x14ac:dyDescent="0.25">
      <c r="B107" s="84">
        <f t="shared" ca="1" si="2"/>
        <v>42705</v>
      </c>
      <c r="C107" s="147"/>
      <c r="D107" s="147"/>
      <c r="E107" s="645"/>
      <c r="F107" s="648"/>
    </row>
    <row r="108" spans="2:6" x14ac:dyDescent="0.25">
      <c r="B108" s="84">
        <f t="shared" ref="B108:B139" ca="1" si="3">B107+1</f>
        <v>42706</v>
      </c>
      <c r="C108" s="147"/>
      <c r="D108" s="147"/>
      <c r="E108" s="645"/>
      <c r="F108" s="648"/>
    </row>
    <row r="109" spans="2:6" x14ac:dyDescent="0.25">
      <c r="B109" s="84">
        <f t="shared" ca="1" si="3"/>
        <v>42707</v>
      </c>
      <c r="C109" s="147"/>
      <c r="D109" s="147"/>
      <c r="E109" s="645"/>
      <c r="F109" s="648"/>
    </row>
    <row r="110" spans="2:6" x14ac:dyDescent="0.25">
      <c r="B110" s="84">
        <f t="shared" ca="1" si="3"/>
        <v>42708</v>
      </c>
      <c r="C110" s="147"/>
      <c r="D110" s="147"/>
      <c r="E110" s="645"/>
      <c r="F110" s="648"/>
    </row>
    <row r="111" spans="2:6" x14ac:dyDescent="0.25">
      <c r="B111" s="84">
        <f t="shared" ca="1" si="3"/>
        <v>42709</v>
      </c>
      <c r="C111" s="147"/>
      <c r="D111" s="147"/>
      <c r="E111" s="645"/>
      <c r="F111" s="648"/>
    </row>
    <row r="112" spans="2:6" x14ac:dyDescent="0.25">
      <c r="B112" s="84">
        <f t="shared" ca="1" si="3"/>
        <v>42710</v>
      </c>
      <c r="C112" s="147"/>
      <c r="D112" s="147"/>
      <c r="E112" s="645"/>
      <c r="F112" s="648"/>
    </row>
    <row r="113" spans="2:6" x14ac:dyDescent="0.25">
      <c r="B113" s="84">
        <f t="shared" ca="1" si="3"/>
        <v>42711</v>
      </c>
      <c r="C113" s="147"/>
      <c r="D113" s="147"/>
      <c r="E113" s="645"/>
      <c r="F113" s="648"/>
    </row>
    <row r="114" spans="2:6" x14ac:dyDescent="0.25">
      <c r="B114" s="84">
        <f t="shared" ca="1" si="3"/>
        <v>42712</v>
      </c>
      <c r="C114" s="147"/>
      <c r="D114" s="147"/>
      <c r="E114" s="645"/>
      <c r="F114" s="648"/>
    </row>
    <row r="115" spans="2:6" x14ac:dyDescent="0.25">
      <c r="B115" s="84">
        <f t="shared" ca="1" si="3"/>
        <v>42713</v>
      </c>
      <c r="C115" s="147"/>
      <c r="D115" s="147"/>
      <c r="E115" s="645"/>
      <c r="F115" s="648"/>
    </row>
    <row r="116" spans="2:6" ht="13.8" thickBot="1" x14ac:dyDescent="0.3">
      <c r="B116" s="84">
        <f t="shared" ca="1" si="3"/>
        <v>42714</v>
      </c>
      <c r="C116" s="147"/>
      <c r="D116" s="147"/>
      <c r="E116" s="645"/>
      <c r="F116" s="649"/>
    </row>
    <row r="117" spans="2:6" x14ac:dyDescent="0.25">
      <c r="B117" s="84">
        <f t="shared" ca="1" si="3"/>
        <v>42715</v>
      </c>
      <c r="C117" s="147"/>
      <c r="D117" s="147"/>
      <c r="E117" s="645"/>
      <c r="F117" s="78"/>
    </row>
    <row r="118" spans="2:6" x14ac:dyDescent="0.25">
      <c r="B118" s="84">
        <f t="shared" ca="1" si="3"/>
        <v>42716</v>
      </c>
      <c r="C118" s="147"/>
      <c r="D118" s="147"/>
      <c r="E118" s="645"/>
      <c r="F118" s="78"/>
    </row>
    <row r="119" spans="2:6" x14ac:dyDescent="0.25">
      <c r="B119" s="84">
        <f t="shared" ca="1" si="3"/>
        <v>42717</v>
      </c>
      <c r="C119" s="147"/>
      <c r="D119" s="147"/>
      <c r="E119" s="645"/>
      <c r="F119" s="78"/>
    </row>
    <row r="120" spans="2:6" x14ac:dyDescent="0.25">
      <c r="B120" s="84">
        <f t="shared" ca="1" si="3"/>
        <v>42718</v>
      </c>
      <c r="C120" s="147"/>
      <c r="D120" s="147"/>
      <c r="E120" s="645"/>
      <c r="F120" s="78"/>
    </row>
    <row r="121" spans="2:6" x14ac:dyDescent="0.25">
      <c r="B121" s="84">
        <f t="shared" ca="1" si="3"/>
        <v>42719</v>
      </c>
      <c r="C121" s="147"/>
      <c r="D121" s="147"/>
      <c r="E121" s="645"/>
      <c r="F121" s="78"/>
    </row>
    <row r="122" spans="2:6" x14ac:dyDescent="0.25">
      <c r="B122" s="84">
        <f t="shared" ca="1" si="3"/>
        <v>42720</v>
      </c>
      <c r="C122" s="147"/>
      <c r="D122" s="147"/>
      <c r="E122" s="645"/>
      <c r="F122" s="78"/>
    </row>
    <row r="123" spans="2:6" x14ac:dyDescent="0.25">
      <c r="B123" s="84">
        <f t="shared" ca="1" si="3"/>
        <v>42721</v>
      </c>
      <c r="C123" s="147"/>
      <c r="D123" s="147"/>
      <c r="E123" s="645"/>
      <c r="F123" s="78"/>
    </row>
    <row r="124" spans="2:6" x14ac:dyDescent="0.25">
      <c r="B124" s="84">
        <f t="shared" ca="1" si="3"/>
        <v>42722</v>
      </c>
      <c r="C124" s="147"/>
      <c r="D124" s="147"/>
      <c r="E124" s="645"/>
      <c r="F124" s="78"/>
    </row>
    <row r="125" spans="2:6" x14ac:dyDescent="0.25">
      <c r="B125" s="84">
        <f t="shared" ca="1" si="3"/>
        <v>42723</v>
      </c>
      <c r="C125" s="147"/>
      <c r="D125" s="147"/>
      <c r="E125" s="645"/>
      <c r="F125" s="78"/>
    </row>
    <row r="126" spans="2:6" x14ac:dyDescent="0.25">
      <c r="B126" s="84">
        <f t="shared" ca="1" si="3"/>
        <v>42724</v>
      </c>
      <c r="C126" s="147"/>
      <c r="D126" s="147"/>
      <c r="E126" s="645"/>
      <c r="F126" s="78"/>
    </row>
    <row r="127" spans="2:6" x14ac:dyDescent="0.25">
      <c r="B127" s="84">
        <f t="shared" ca="1" si="3"/>
        <v>42725</v>
      </c>
      <c r="C127" s="147"/>
      <c r="D127" s="147"/>
      <c r="E127" s="645"/>
      <c r="F127" s="78"/>
    </row>
    <row r="128" spans="2:6" x14ac:dyDescent="0.25">
      <c r="B128" s="84">
        <f t="shared" ca="1" si="3"/>
        <v>42726</v>
      </c>
      <c r="C128" s="147"/>
      <c r="D128" s="147"/>
      <c r="E128" s="645"/>
    </row>
    <row r="129" spans="2:5" x14ac:dyDescent="0.25">
      <c r="B129" s="84">
        <f t="shared" ca="1" si="3"/>
        <v>42727</v>
      </c>
      <c r="C129" s="147"/>
      <c r="D129" s="147"/>
      <c r="E129" s="645"/>
    </row>
    <row r="130" spans="2:5" x14ac:dyDescent="0.25">
      <c r="B130" s="84">
        <f t="shared" ca="1" si="3"/>
        <v>42728</v>
      </c>
      <c r="C130" s="147"/>
      <c r="D130" s="147"/>
      <c r="E130" s="645"/>
    </row>
    <row r="131" spans="2:5" x14ac:dyDescent="0.25">
      <c r="B131" s="84">
        <f t="shared" ca="1" si="3"/>
        <v>42729</v>
      </c>
      <c r="C131" s="147"/>
      <c r="D131" s="147"/>
      <c r="E131" s="645"/>
    </row>
    <row r="132" spans="2:5" x14ac:dyDescent="0.25">
      <c r="B132" s="84">
        <f t="shared" ca="1" si="3"/>
        <v>42730</v>
      </c>
      <c r="C132" s="147"/>
      <c r="D132" s="147"/>
      <c r="E132" s="645"/>
    </row>
    <row r="133" spans="2:5" x14ac:dyDescent="0.25">
      <c r="B133" s="84">
        <f t="shared" ca="1" si="3"/>
        <v>42731</v>
      </c>
      <c r="C133" s="147"/>
      <c r="D133" s="147"/>
      <c r="E133" s="645"/>
    </row>
    <row r="134" spans="2:5" x14ac:dyDescent="0.25">
      <c r="B134" s="84">
        <f t="shared" ca="1" si="3"/>
        <v>42732</v>
      </c>
      <c r="C134" s="147"/>
      <c r="D134" s="147"/>
      <c r="E134" s="645"/>
    </row>
    <row r="135" spans="2:5" x14ac:dyDescent="0.25">
      <c r="B135" s="84">
        <f t="shared" ca="1" si="3"/>
        <v>42733</v>
      </c>
      <c r="C135" s="147"/>
      <c r="D135" s="147"/>
      <c r="E135" s="645"/>
    </row>
    <row r="136" spans="2:5" x14ac:dyDescent="0.25">
      <c r="B136" s="84">
        <f t="shared" ca="1" si="3"/>
        <v>42734</v>
      </c>
      <c r="C136" s="147"/>
      <c r="D136" s="147"/>
      <c r="E136" s="645"/>
    </row>
    <row r="137" spans="2:5" x14ac:dyDescent="0.25">
      <c r="B137" s="84">
        <f t="shared" ca="1" si="3"/>
        <v>42735</v>
      </c>
      <c r="C137" s="147"/>
      <c r="D137" s="147"/>
      <c r="E137" s="645"/>
    </row>
    <row r="138" spans="2:5" x14ac:dyDescent="0.25">
      <c r="B138" s="84">
        <f t="shared" ca="1" si="3"/>
        <v>42736</v>
      </c>
      <c r="C138" s="147"/>
      <c r="D138" s="147"/>
      <c r="E138" s="645"/>
    </row>
    <row r="139" spans="2:5" x14ac:dyDescent="0.25">
      <c r="B139" s="84">
        <f t="shared" ca="1" si="3"/>
        <v>42737</v>
      </c>
      <c r="C139" s="147"/>
      <c r="D139" s="147"/>
      <c r="E139" s="645"/>
    </row>
    <row r="140" spans="2:5" x14ac:dyDescent="0.25">
      <c r="B140" s="84">
        <f t="shared" ref="B140:B171" ca="1" si="4">B139+1</f>
        <v>42738</v>
      </c>
      <c r="C140" s="147"/>
      <c r="D140" s="147"/>
      <c r="E140" s="645"/>
    </row>
    <row r="141" spans="2:5" x14ac:dyDescent="0.25">
      <c r="B141" s="84">
        <f t="shared" ca="1" si="4"/>
        <v>42739</v>
      </c>
      <c r="C141" s="147"/>
      <c r="D141" s="147"/>
      <c r="E141" s="645"/>
    </row>
    <row r="142" spans="2:5" x14ac:dyDescent="0.25">
      <c r="B142" s="84">
        <f t="shared" ca="1" si="4"/>
        <v>42740</v>
      </c>
      <c r="C142" s="147"/>
      <c r="D142" s="147"/>
      <c r="E142" s="645"/>
    </row>
    <row r="143" spans="2:5" x14ac:dyDescent="0.25">
      <c r="B143" s="84">
        <f t="shared" ca="1" si="4"/>
        <v>42741</v>
      </c>
      <c r="C143" s="147"/>
      <c r="D143" s="147"/>
      <c r="E143" s="645"/>
    </row>
    <row r="144" spans="2:5" x14ac:dyDescent="0.25">
      <c r="B144" s="84">
        <f t="shared" ca="1" si="4"/>
        <v>42742</v>
      </c>
      <c r="C144" s="147"/>
      <c r="D144" s="147"/>
      <c r="E144" s="645"/>
    </row>
    <row r="145" spans="2:5" x14ac:dyDescent="0.25">
      <c r="B145" s="84">
        <f t="shared" ca="1" si="4"/>
        <v>42743</v>
      </c>
      <c r="C145" s="147"/>
      <c r="D145" s="147"/>
      <c r="E145" s="645"/>
    </row>
    <row r="146" spans="2:5" x14ac:dyDescent="0.25">
      <c r="B146" s="84">
        <f t="shared" ca="1" si="4"/>
        <v>42744</v>
      </c>
      <c r="C146" s="147"/>
      <c r="D146" s="147"/>
      <c r="E146" s="645"/>
    </row>
    <row r="147" spans="2:5" x14ac:dyDescent="0.25">
      <c r="B147" s="84">
        <f t="shared" ca="1" si="4"/>
        <v>42745</v>
      </c>
      <c r="C147" s="147"/>
      <c r="D147" s="147"/>
      <c r="E147" s="645"/>
    </row>
    <row r="148" spans="2:5" x14ac:dyDescent="0.25">
      <c r="B148" s="84">
        <f t="shared" ca="1" si="4"/>
        <v>42746</v>
      </c>
      <c r="C148" s="147"/>
      <c r="D148" s="147"/>
      <c r="E148" s="645"/>
    </row>
    <row r="149" spans="2:5" x14ac:dyDescent="0.25">
      <c r="B149" s="84">
        <f t="shared" ca="1" si="4"/>
        <v>42747</v>
      </c>
      <c r="C149" s="147"/>
      <c r="D149" s="147"/>
      <c r="E149" s="645"/>
    </row>
    <row r="150" spans="2:5" x14ac:dyDescent="0.25">
      <c r="B150" s="84">
        <f t="shared" ca="1" si="4"/>
        <v>42748</v>
      </c>
      <c r="C150" s="147"/>
      <c r="D150" s="147"/>
      <c r="E150" s="645"/>
    </row>
    <row r="151" spans="2:5" x14ac:dyDescent="0.25">
      <c r="B151" s="84">
        <f t="shared" ca="1" si="4"/>
        <v>42749</v>
      </c>
      <c r="C151" s="147"/>
      <c r="D151" s="147"/>
      <c r="E151" s="645"/>
    </row>
    <row r="152" spans="2:5" x14ac:dyDescent="0.25">
      <c r="B152" s="84">
        <f t="shared" ca="1" si="4"/>
        <v>42750</v>
      </c>
      <c r="C152" s="147"/>
      <c r="D152" s="147"/>
      <c r="E152" s="645"/>
    </row>
    <row r="153" spans="2:5" x14ac:dyDescent="0.25">
      <c r="B153" s="84">
        <f t="shared" ca="1" si="4"/>
        <v>42751</v>
      </c>
      <c r="C153" s="147"/>
      <c r="D153" s="147"/>
      <c r="E153" s="645"/>
    </row>
    <row r="154" spans="2:5" x14ac:dyDescent="0.25">
      <c r="B154" s="84">
        <f t="shared" ca="1" si="4"/>
        <v>42752</v>
      </c>
      <c r="C154" s="147"/>
      <c r="D154" s="147"/>
      <c r="E154" s="645"/>
    </row>
    <row r="155" spans="2:5" x14ac:dyDescent="0.25">
      <c r="B155" s="84">
        <f t="shared" ca="1" si="4"/>
        <v>42753</v>
      </c>
      <c r="C155" s="147"/>
      <c r="D155" s="147"/>
      <c r="E155" s="645"/>
    </row>
    <row r="156" spans="2:5" x14ac:dyDescent="0.25">
      <c r="B156" s="84">
        <f t="shared" ca="1" si="4"/>
        <v>42754</v>
      </c>
      <c r="C156" s="147"/>
      <c r="D156" s="147"/>
      <c r="E156" s="645"/>
    </row>
    <row r="157" spans="2:5" x14ac:dyDescent="0.25">
      <c r="B157" s="84">
        <f t="shared" ca="1" si="4"/>
        <v>42755</v>
      </c>
      <c r="C157" s="147"/>
      <c r="D157" s="147"/>
      <c r="E157" s="645"/>
    </row>
    <row r="158" spans="2:5" x14ac:dyDescent="0.25">
      <c r="B158" s="84">
        <f t="shared" ca="1" si="4"/>
        <v>42756</v>
      </c>
      <c r="C158" s="147"/>
      <c r="D158" s="147"/>
      <c r="E158" s="645"/>
    </row>
    <row r="159" spans="2:5" x14ac:dyDescent="0.25">
      <c r="B159" s="84">
        <f t="shared" ca="1" si="4"/>
        <v>42757</v>
      </c>
      <c r="C159" s="147"/>
      <c r="D159" s="147"/>
      <c r="E159" s="645"/>
    </row>
    <row r="160" spans="2:5" x14ac:dyDescent="0.25">
      <c r="B160" s="84">
        <f t="shared" ca="1" si="4"/>
        <v>42758</v>
      </c>
      <c r="C160" s="147"/>
      <c r="D160" s="147"/>
      <c r="E160" s="645"/>
    </row>
    <row r="161" spans="2:5" x14ac:dyDescent="0.25">
      <c r="B161" s="84">
        <f t="shared" ca="1" si="4"/>
        <v>42759</v>
      </c>
      <c r="C161" s="147"/>
      <c r="D161" s="147"/>
      <c r="E161" s="645"/>
    </row>
    <row r="162" spans="2:5" x14ac:dyDescent="0.25">
      <c r="B162" s="84">
        <f t="shared" ca="1" si="4"/>
        <v>42760</v>
      </c>
      <c r="C162" s="147"/>
      <c r="D162" s="147"/>
      <c r="E162" s="645"/>
    </row>
    <row r="163" spans="2:5" x14ac:dyDescent="0.25">
      <c r="B163" s="84">
        <f t="shared" ca="1" si="4"/>
        <v>42761</v>
      </c>
      <c r="C163" s="147"/>
      <c r="D163" s="147"/>
      <c r="E163" s="645"/>
    </row>
    <row r="164" spans="2:5" x14ac:dyDescent="0.25">
      <c r="B164" s="84">
        <f t="shared" ca="1" si="4"/>
        <v>42762</v>
      </c>
      <c r="C164" s="147"/>
      <c r="D164" s="147"/>
      <c r="E164" s="645"/>
    </row>
    <row r="165" spans="2:5" x14ac:dyDescent="0.25">
      <c r="B165" s="84">
        <f t="shared" ca="1" si="4"/>
        <v>42763</v>
      </c>
      <c r="C165" s="147"/>
      <c r="D165" s="147"/>
      <c r="E165" s="645"/>
    </row>
    <row r="166" spans="2:5" x14ac:dyDescent="0.25">
      <c r="B166" s="84">
        <f t="shared" ca="1" si="4"/>
        <v>42764</v>
      </c>
      <c r="C166" s="147"/>
      <c r="D166" s="147"/>
      <c r="E166" s="645"/>
    </row>
    <row r="167" spans="2:5" x14ac:dyDescent="0.25">
      <c r="B167" s="84">
        <f t="shared" ca="1" si="4"/>
        <v>42765</v>
      </c>
      <c r="C167" s="147"/>
      <c r="D167" s="147"/>
      <c r="E167" s="645"/>
    </row>
    <row r="168" spans="2:5" x14ac:dyDescent="0.25">
      <c r="B168" s="84">
        <f t="shared" ca="1" si="4"/>
        <v>42766</v>
      </c>
      <c r="C168" s="147"/>
      <c r="D168" s="147"/>
      <c r="E168" s="645"/>
    </row>
    <row r="169" spans="2:5" x14ac:dyDescent="0.25">
      <c r="B169" s="84">
        <f t="shared" ca="1" si="4"/>
        <v>42767</v>
      </c>
      <c r="C169" s="147"/>
      <c r="D169" s="147"/>
      <c r="E169" s="645"/>
    </row>
    <row r="170" spans="2:5" x14ac:dyDescent="0.25">
      <c r="B170" s="84">
        <f t="shared" ca="1" si="4"/>
        <v>42768</v>
      </c>
      <c r="C170" s="147"/>
      <c r="D170" s="147"/>
      <c r="E170" s="645"/>
    </row>
    <row r="171" spans="2:5" x14ac:dyDescent="0.25">
      <c r="B171" s="84">
        <f t="shared" ca="1" si="4"/>
        <v>42769</v>
      </c>
      <c r="C171" s="147"/>
      <c r="D171" s="147"/>
      <c r="E171" s="645"/>
    </row>
    <row r="172" spans="2:5" x14ac:dyDescent="0.25">
      <c r="B172" s="84">
        <f t="shared" ref="B172:B207" ca="1" si="5">B171+1</f>
        <v>42770</v>
      </c>
      <c r="C172" s="147"/>
      <c r="D172" s="147"/>
      <c r="E172" s="645"/>
    </row>
    <row r="173" spans="2:5" x14ac:dyDescent="0.25">
      <c r="B173" s="84">
        <f t="shared" ca="1" si="5"/>
        <v>42771</v>
      </c>
      <c r="C173" s="147"/>
      <c r="D173" s="147"/>
      <c r="E173" s="645"/>
    </row>
    <row r="174" spans="2:5" x14ac:dyDescent="0.25">
      <c r="B174" s="84">
        <f t="shared" ca="1" si="5"/>
        <v>42772</v>
      </c>
      <c r="C174" s="147"/>
      <c r="D174" s="147"/>
      <c r="E174" s="645"/>
    </row>
    <row r="175" spans="2:5" x14ac:dyDescent="0.25">
      <c r="B175" s="84">
        <f t="shared" ca="1" si="5"/>
        <v>42773</v>
      </c>
      <c r="C175" s="147"/>
      <c r="D175" s="147"/>
      <c r="E175" s="645"/>
    </row>
    <row r="176" spans="2:5" x14ac:dyDescent="0.25">
      <c r="B176" s="84">
        <f t="shared" ca="1" si="5"/>
        <v>42774</v>
      </c>
      <c r="C176" s="147"/>
      <c r="D176" s="147"/>
      <c r="E176" s="645"/>
    </row>
    <row r="177" spans="2:5" x14ac:dyDescent="0.25">
      <c r="B177" s="84">
        <f t="shared" ca="1" si="5"/>
        <v>42775</v>
      </c>
      <c r="C177" s="147"/>
      <c r="D177" s="147"/>
      <c r="E177" s="645"/>
    </row>
    <row r="178" spans="2:5" x14ac:dyDescent="0.25">
      <c r="B178" s="84">
        <f t="shared" ca="1" si="5"/>
        <v>42776</v>
      </c>
      <c r="C178" s="147"/>
      <c r="D178" s="147"/>
      <c r="E178" s="645"/>
    </row>
    <row r="179" spans="2:5" x14ac:dyDescent="0.25">
      <c r="B179" s="84">
        <f t="shared" ca="1" si="5"/>
        <v>42777</v>
      </c>
      <c r="C179" s="147"/>
      <c r="D179" s="147"/>
      <c r="E179" s="645"/>
    </row>
    <row r="180" spans="2:5" x14ac:dyDescent="0.25">
      <c r="B180" s="84">
        <f t="shared" ca="1" si="5"/>
        <v>42778</v>
      </c>
      <c r="C180" s="147"/>
      <c r="D180" s="147"/>
      <c r="E180" s="645"/>
    </row>
    <row r="181" spans="2:5" x14ac:dyDescent="0.25">
      <c r="B181" s="84">
        <f t="shared" ca="1" si="5"/>
        <v>42779</v>
      </c>
      <c r="C181" s="147"/>
      <c r="D181" s="147"/>
      <c r="E181" s="645"/>
    </row>
    <row r="182" spans="2:5" x14ac:dyDescent="0.25">
      <c r="B182" s="84">
        <f t="shared" ca="1" si="5"/>
        <v>42780</v>
      </c>
      <c r="C182" s="147"/>
      <c r="D182" s="147"/>
      <c r="E182" s="645"/>
    </row>
    <row r="183" spans="2:5" x14ac:dyDescent="0.25">
      <c r="B183" s="84">
        <f t="shared" ca="1" si="5"/>
        <v>42781</v>
      </c>
      <c r="C183" s="147"/>
      <c r="D183" s="147"/>
      <c r="E183" s="645"/>
    </row>
    <row r="184" spans="2:5" x14ac:dyDescent="0.25">
      <c r="B184" s="84">
        <f t="shared" ca="1" si="5"/>
        <v>42782</v>
      </c>
      <c r="C184" s="147"/>
      <c r="D184" s="147"/>
      <c r="E184" s="645"/>
    </row>
    <row r="185" spans="2:5" x14ac:dyDescent="0.25">
      <c r="B185" s="84">
        <f t="shared" ca="1" si="5"/>
        <v>42783</v>
      </c>
      <c r="C185" s="147"/>
      <c r="D185" s="147"/>
      <c r="E185" s="645"/>
    </row>
    <row r="186" spans="2:5" x14ac:dyDescent="0.25">
      <c r="B186" s="84">
        <f t="shared" ca="1" si="5"/>
        <v>42784</v>
      </c>
      <c r="C186" s="147"/>
      <c r="D186" s="147"/>
      <c r="E186" s="645"/>
    </row>
    <row r="187" spans="2:5" x14ac:dyDescent="0.25">
      <c r="B187" s="84">
        <f t="shared" ca="1" si="5"/>
        <v>42785</v>
      </c>
      <c r="C187" s="147"/>
      <c r="D187" s="147"/>
      <c r="E187" s="645"/>
    </row>
    <row r="188" spans="2:5" x14ac:dyDescent="0.25">
      <c r="B188" s="84">
        <f t="shared" ca="1" si="5"/>
        <v>42786</v>
      </c>
      <c r="C188" s="147"/>
      <c r="D188" s="147"/>
      <c r="E188" s="645"/>
    </row>
    <row r="189" spans="2:5" x14ac:dyDescent="0.25">
      <c r="B189" s="84">
        <f t="shared" ca="1" si="5"/>
        <v>42787</v>
      </c>
      <c r="C189" s="147"/>
      <c r="D189" s="147"/>
      <c r="E189" s="645"/>
    </row>
    <row r="190" spans="2:5" x14ac:dyDescent="0.25">
      <c r="B190" s="84">
        <f t="shared" ca="1" si="5"/>
        <v>42788</v>
      </c>
      <c r="C190" s="147"/>
      <c r="D190" s="147"/>
      <c r="E190" s="645"/>
    </row>
    <row r="191" spans="2:5" x14ac:dyDescent="0.25">
      <c r="B191" s="84">
        <f t="shared" ca="1" si="5"/>
        <v>42789</v>
      </c>
      <c r="C191" s="147"/>
      <c r="D191" s="147"/>
      <c r="E191" s="645"/>
    </row>
    <row r="192" spans="2:5" x14ac:dyDescent="0.25">
      <c r="B192" s="84">
        <f t="shared" ca="1" si="5"/>
        <v>42790</v>
      </c>
      <c r="C192" s="147"/>
      <c r="D192" s="147"/>
      <c r="E192" s="645"/>
    </row>
    <row r="193" spans="2:5" x14ac:dyDescent="0.25">
      <c r="B193" s="84">
        <f t="shared" ca="1" si="5"/>
        <v>42791</v>
      </c>
      <c r="C193" s="147"/>
      <c r="D193" s="147"/>
      <c r="E193" s="645"/>
    </row>
    <row r="194" spans="2:5" x14ac:dyDescent="0.25">
      <c r="B194" s="84">
        <f t="shared" ca="1" si="5"/>
        <v>42792</v>
      </c>
      <c r="C194" s="147"/>
      <c r="D194" s="147"/>
      <c r="E194" s="645"/>
    </row>
    <row r="195" spans="2:5" x14ac:dyDescent="0.25">
      <c r="B195" s="84">
        <f t="shared" ca="1" si="5"/>
        <v>42793</v>
      </c>
      <c r="C195" s="147"/>
      <c r="D195" s="147"/>
      <c r="E195" s="645"/>
    </row>
    <row r="196" spans="2:5" x14ac:dyDescent="0.25">
      <c r="B196" s="84">
        <f t="shared" ca="1" si="5"/>
        <v>42794</v>
      </c>
      <c r="C196" s="147"/>
      <c r="D196" s="147"/>
      <c r="E196" s="645"/>
    </row>
    <row r="197" spans="2:5" x14ac:dyDescent="0.25">
      <c r="B197" s="84">
        <f t="shared" ca="1" si="5"/>
        <v>42795</v>
      </c>
      <c r="C197" s="147"/>
      <c r="D197" s="147"/>
      <c r="E197" s="645"/>
    </row>
    <row r="198" spans="2:5" x14ac:dyDescent="0.25">
      <c r="B198" s="84">
        <f t="shared" ca="1" si="5"/>
        <v>42796</v>
      </c>
      <c r="C198" s="147"/>
      <c r="D198" s="147"/>
      <c r="E198" s="645"/>
    </row>
    <row r="199" spans="2:5" x14ac:dyDescent="0.25">
      <c r="B199" s="84">
        <f t="shared" ca="1" si="5"/>
        <v>42797</v>
      </c>
      <c r="C199" s="147"/>
      <c r="D199" s="147"/>
      <c r="E199" s="645"/>
    </row>
    <row r="200" spans="2:5" x14ac:dyDescent="0.25">
      <c r="B200" s="84">
        <f t="shared" ca="1" si="5"/>
        <v>42798</v>
      </c>
      <c r="C200" s="147"/>
      <c r="D200" s="147"/>
      <c r="E200" s="645"/>
    </row>
    <row r="201" spans="2:5" x14ac:dyDescent="0.25">
      <c r="B201" s="84">
        <f t="shared" ca="1" si="5"/>
        <v>42799</v>
      </c>
      <c r="C201" s="147"/>
      <c r="D201" s="147"/>
      <c r="E201" s="645"/>
    </row>
    <row r="202" spans="2:5" x14ac:dyDescent="0.25">
      <c r="B202" s="84">
        <f t="shared" ca="1" si="5"/>
        <v>42800</v>
      </c>
      <c r="C202" s="147"/>
      <c r="D202" s="147"/>
      <c r="E202" s="645"/>
    </row>
    <row r="203" spans="2:5" x14ac:dyDescent="0.25">
      <c r="B203" s="84">
        <f t="shared" ca="1" si="5"/>
        <v>42801</v>
      </c>
      <c r="C203" s="147"/>
      <c r="D203" s="147"/>
      <c r="E203" s="645"/>
    </row>
    <row r="204" spans="2:5" x14ac:dyDescent="0.25">
      <c r="B204" s="84">
        <f t="shared" ca="1" si="5"/>
        <v>42802</v>
      </c>
      <c r="C204" s="147"/>
      <c r="D204" s="147"/>
      <c r="E204" s="645"/>
    </row>
    <row r="205" spans="2:5" x14ac:dyDescent="0.25">
      <c r="B205" s="84">
        <f t="shared" ca="1" si="5"/>
        <v>42803</v>
      </c>
      <c r="C205" s="147"/>
      <c r="D205" s="147"/>
      <c r="E205" s="645"/>
    </row>
    <row r="206" spans="2:5" x14ac:dyDescent="0.25">
      <c r="B206" s="84">
        <f t="shared" ca="1" si="5"/>
        <v>42804</v>
      </c>
      <c r="C206" s="147"/>
      <c r="D206" s="147"/>
      <c r="E206" s="645"/>
    </row>
    <row r="207" spans="2:5" ht="13.8" thickBot="1" x14ac:dyDescent="0.3">
      <c r="B207" s="85">
        <f t="shared" ca="1" si="5"/>
        <v>42805</v>
      </c>
      <c r="C207" s="148"/>
      <c r="D207" s="148"/>
      <c r="E207" s="646"/>
    </row>
    <row r="208" spans="2:5" ht="13.8" thickBot="1" x14ac:dyDescent="0.3">
      <c r="B208" s="81" t="s">
        <v>399</v>
      </c>
      <c r="C208" s="82">
        <f>SUM(C11:C207)</f>
        <v>0</v>
      </c>
      <c r="D208" s="82">
        <f>SUM(D11:D207)</f>
        <v>0</v>
      </c>
      <c r="E208" s="647">
        <f>SUM(E11:E207)</f>
        <v>0</v>
      </c>
    </row>
    <row r="211" spans="3:5" x14ac:dyDescent="0.25">
      <c r="C211" s="1"/>
      <c r="D211" s="1"/>
    </row>
    <row r="212" spans="3:5" x14ac:dyDescent="0.25">
      <c r="C212"/>
      <c r="E212"/>
    </row>
    <row r="213" spans="3:5" x14ac:dyDescent="0.25">
      <c r="C213"/>
      <c r="E213"/>
    </row>
    <row r="214" spans="3:5" x14ac:dyDescent="0.25">
      <c r="C214"/>
      <c r="E214"/>
    </row>
    <row r="215" spans="3:5" x14ac:dyDescent="0.25">
      <c r="C215"/>
      <c r="E215"/>
    </row>
    <row r="216" spans="3:5" x14ac:dyDescent="0.25">
      <c r="C216"/>
      <c r="E216"/>
    </row>
    <row r="217" spans="3:5" x14ac:dyDescent="0.25">
      <c r="C217"/>
      <c r="E217"/>
    </row>
    <row r="218" spans="3:5" x14ac:dyDescent="0.25">
      <c r="C218"/>
      <c r="E218"/>
    </row>
    <row r="219" spans="3:5" x14ac:dyDescent="0.25">
      <c r="C219"/>
      <c r="E219"/>
    </row>
    <row r="220" spans="3:5" x14ac:dyDescent="0.25">
      <c r="C220"/>
      <c r="E220"/>
    </row>
    <row r="221" spans="3:5" x14ac:dyDescent="0.25">
      <c r="C221"/>
      <c r="E221"/>
    </row>
    <row r="222" spans="3:5" x14ac:dyDescent="0.25">
      <c r="C222"/>
      <c r="E222"/>
    </row>
    <row r="223" spans="3:5" x14ac:dyDescent="0.25">
      <c r="C223"/>
      <c r="E223"/>
    </row>
    <row r="224" spans="3:5" x14ac:dyDescent="0.25">
      <c r="C224"/>
      <c r="E224"/>
    </row>
    <row r="225" spans="3:5" x14ac:dyDescent="0.25">
      <c r="C225"/>
      <c r="E225"/>
    </row>
    <row r="226" spans="3:5" x14ac:dyDescent="0.25">
      <c r="C226"/>
      <c r="E226"/>
    </row>
    <row r="227" spans="3:5" x14ac:dyDescent="0.25">
      <c r="C227"/>
      <c r="E227"/>
    </row>
    <row r="228" spans="3:5" x14ac:dyDescent="0.25">
      <c r="C228"/>
      <c r="E228"/>
    </row>
    <row r="229" spans="3:5" x14ac:dyDescent="0.25">
      <c r="C229"/>
      <c r="E229"/>
    </row>
    <row r="230" spans="3:5" x14ac:dyDescent="0.25">
      <c r="C230"/>
      <c r="E230"/>
    </row>
    <row r="231" spans="3:5" x14ac:dyDescent="0.25">
      <c r="C231"/>
      <c r="E231"/>
    </row>
    <row r="232" spans="3:5" x14ac:dyDescent="0.25">
      <c r="C232"/>
      <c r="E232"/>
    </row>
    <row r="233" spans="3:5" x14ac:dyDescent="0.25">
      <c r="C233"/>
      <c r="E233"/>
    </row>
    <row r="234" spans="3:5" x14ac:dyDescent="0.25">
      <c r="C234"/>
      <c r="E234"/>
    </row>
    <row r="235" spans="3:5" x14ac:dyDescent="0.25">
      <c r="C235"/>
      <c r="E235"/>
    </row>
    <row r="236" spans="3:5" x14ac:dyDescent="0.25">
      <c r="C236"/>
      <c r="E236"/>
    </row>
    <row r="237" spans="3:5" x14ac:dyDescent="0.25">
      <c r="C237"/>
      <c r="E237"/>
    </row>
    <row r="238" spans="3:5" x14ac:dyDescent="0.25">
      <c r="C238"/>
      <c r="E238"/>
    </row>
    <row r="239" spans="3:5" x14ac:dyDescent="0.25">
      <c r="C239"/>
      <c r="E239"/>
    </row>
    <row r="240" spans="3:5" x14ac:dyDescent="0.25">
      <c r="C240"/>
      <c r="E240"/>
    </row>
    <row r="241" spans="3:5" x14ac:dyDescent="0.25">
      <c r="C241"/>
      <c r="E241"/>
    </row>
    <row r="242" spans="3:5" x14ac:dyDescent="0.25">
      <c r="C242"/>
      <c r="E242"/>
    </row>
    <row r="243" spans="3:5" x14ac:dyDescent="0.25">
      <c r="C243"/>
      <c r="E243"/>
    </row>
    <row r="244" spans="3:5" x14ac:dyDescent="0.25">
      <c r="C244"/>
      <c r="E244"/>
    </row>
    <row r="245" spans="3:5" x14ac:dyDescent="0.25">
      <c r="C245"/>
      <c r="E245"/>
    </row>
    <row r="246" spans="3:5" x14ac:dyDescent="0.25">
      <c r="C246"/>
      <c r="E246"/>
    </row>
    <row r="247" spans="3:5" x14ac:dyDescent="0.25">
      <c r="C247"/>
      <c r="E247"/>
    </row>
    <row r="248" spans="3:5" x14ac:dyDescent="0.25">
      <c r="C248"/>
      <c r="E248"/>
    </row>
    <row r="249" spans="3:5" x14ac:dyDescent="0.25">
      <c r="C249"/>
      <c r="E249"/>
    </row>
    <row r="250" spans="3:5" x14ac:dyDescent="0.25">
      <c r="C250"/>
      <c r="E250"/>
    </row>
    <row r="251" spans="3:5" x14ac:dyDescent="0.25">
      <c r="C251"/>
      <c r="E251"/>
    </row>
    <row r="252" spans="3:5" x14ac:dyDescent="0.25">
      <c r="C252"/>
      <c r="E252"/>
    </row>
    <row r="253" spans="3:5" x14ac:dyDescent="0.25">
      <c r="C253"/>
      <c r="E253"/>
    </row>
    <row r="254" spans="3:5" x14ac:dyDescent="0.25">
      <c r="C254"/>
      <c r="E254"/>
    </row>
    <row r="255" spans="3:5" x14ac:dyDescent="0.25">
      <c r="C255"/>
      <c r="E255"/>
    </row>
    <row r="256" spans="3:5" x14ac:dyDescent="0.25">
      <c r="C256"/>
      <c r="E256"/>
    </row>
    <row r="257" spans="3:5" x14ac:dyDescent="0.25">
      <c r="C257"/>
      <c r="E257"/>
    </row>
    <row r="258" spans="3:5" x14ac:dyDescent="0.25">
      <c r="C258"/>
      <c r="E258"/>
    </row>
    <row r="259" spans="3:5" x14ac:dyDescent="0.25">
      <c r="C259"/>
      <c r="E259"/>
    </row>
    <row r="260" spans="3:5" x14ac:dyDescent="0.25">
      <c r="C260"/>
      <c r="E260"/>
    </row>
    <row r="261" spans="3:5" x14ac:dyDescent="0.25">
      <c r="C261"/>
      <c r="E261"/>
    </row>
    <row r="262" spans="3:5" x14ac:dyDescent="0.25">
      <c r="C262"/>
      <c r="E262"/>
    </row>
    <row r="263" spans="3:5" x14ac:dyDescent="0.25">
      <c r="C263"/>
      <c r="E263"/>
    </row>
    <row r="264" spans="3:5" x14ac:dyDescent="0.25">
      <c r="C264"/>
      <c r="E264"/>
    </row>
    <row r="265" spans="3:5" x14ac:dyDescent="0.25">
      <c r="C265"/>
      <c r="E265"/>
    </row>
    <row r="266" spans="3:5" x14ac:dyDescent="0.25">
      <c r="C266"/>
      <c r="E266"/>
    </row>
    <row r="267" spans="3:5" x14ac:dyDescent="0.25">
      <c r="C267"/>
      <c r="E267"/>
    </row>
    <row r="268" spans="3:5" x14ac:dyDescent="0.25">
      <c r="C268"/>
      <c r="E268"/>
    </row>
    <row r="269" spans="3:5" x14ac:dyDescent="0.25">
      <c r="C269"/>
      <c r="E269"/>
    </row>
    <row r="270" spans="3:5" x14ac:dyDescent="0.25">
      <c r="C270"/>
      <c r="E270"/>
    </row>
    <row r="271" spans="3:5" x14ac:dyDescent="0.25">
      <c r="C271"/>
      <c r="E271"/>
    </row>
    <row r="272" spans="3:5" x14ac:dyDescent="0.25">
      <c r="C272"/>
      <c r="E272"/>
    </row>
    <row r="273" spans="3:5" x14ac:dyDescent="0.25">
      <c r="C273"/>
      <c r="E273"/>
    </row>
    <row r="274" spans="3:5" x14ac:dyDescent="0.25">
      <c r="C274"/>
      <c r="E274"/>
    </row>
    <row r="275" spans="3:5" x14ac:dyDescent="0.25">
      <c r="C275"/>
      <c r="E275"/>
    </row>
    <row r="276" spans="3:5" x14ac:dyDescent="0.25">
      <c r="C276"/>
      <c r="E276"/>
    </row>
    <row r="277" spans="3:5" x14ac:dyDescent="0.25">
      <c r="C277"/>
      <c r="E277"/>
    </row>
    <row r="278" spans="3:5" x14ac:dyDescent="0.25">
      <c r="C278"/>
      <c r="E278"/>
    </row>
    <row r="279" spans="3:5" x14ac:dyDescent="0.25">
      <c r="C279"/>
      <c r="E279"/>
    </row>
    <row r="280" spans="3:5" x14ac:dyDescent="0.25">
      <c r="C280"/>
      <c r="E280"/>
    </row>
    <row r="281" spans="3:5" x14ac:dyDescent="0.25">
      <c r="C281"/>
      <c r="E281"/>
    </row>
    <row r="282" spans="3:5" x14ac:dyDescent="0.25">
      <c r="C282"/>
      <c r="E282"/>
    </row>
    <row r="283" spans="3:5" x14ac:dyDescent="0.25">
      <c r="C283"/>
      <c r="E283"/>
    </row>
    <row r="284" spans="3:5" x14ac:dyDescent="0.25">
      <c r="C284"/>
      <c r="E284"/>
    </row>
    <row r="285" spans="3:5" x14ac:dyDescent="0.25">
      <c r="C285"/>
      <c r="E285"/>
    </row>
    <row r="286" spans="3:5" x14ac:dyDescent="0.25">
      <c r="C286"/>
      <c r="E286"/>
    </row>
    <row r="287" spans="3:5" x14ac:dyDescent="0.25">
      <c r="C287"/>
      <c r="E287"/>
    </row>
    <row r="288" spans="3:5" x14ac:dyDescent="0.25">
      <c r="C288"/>
      <c r="E288"/>
    </row>
    <row r="289" spans="3:5" x14ac:dyDescent="0.25">
      <c r="C289"/>
      <c r="E289"/>
    </row>
    <row r="290" spans="3:5" x14ac:dyDescent="0.25">
      <c r="C290"/>
      <c r="E290"/>
    </row>
    <row r="291" spans="3:5" x14ac:dyDescent="0.25">
      <c r="C291"/>
      <c r="E291"/>
    </row>
    <row r="292" spans="3:5" x14ac:dyDescent="0.25">
      <c r="C292"/>
      <c r="E292"/>
    </row>
    <row r="293" spans="3:5" x14ac:dyDescent="0.25">
      <c r="C293"/>
      <c r="E293"/>
    </row>
    <row r="294" spans="3:5" x14ac:dyDescent="0.25">
      <c r="C294"/>
      <c r="E294"/>
    </row>
    <row r="295" spans="3:5" x14ac:dyDescent="0.25">
      <c r="C295"/>
      <c r="E295"/>
    </row>
    <row r="296" spans="3:5" x14ac:dyDescent="0.25">
      <c r="C296"/>
      <c r="E296"/>
    </row>
    <row r="297" spans="3:5" x14ac:dyDescent="0.25">
      <c r="C297"/>
      <c r="E297"/>
    </row>
    <row r="298" spans="3:5" x14ac:dyDescent="0.25">
      <c r="C298"/>
      <c r="E298"/>
    </row>
    <row r="299" spans="3:5" x14ac:dyDescent="0.25">
      <c r="C299"/>
      <c r="E299"/>
    </row>
    <row r="300" spans="3:5" x14ac:dyDescent="0.25">
      <c r="C300"/>
      <c r="E300"/>
    </row>
    <row r="301" spans="3:5" x14ac:dyDescent="0.25">
      <c r="C301"/>
      <c r="E301"/>
    </row>
    <row r="302" spans="3:5" x14ac:dyDescent="0.25">
      <c r="C302"/>
      <c r="E302"/>
    </row>
    <row r="303" spans="3:5" x14ac:dyDescent="0.25">
      <c r="C303"/>
      <c r="E303"/>
    </row>
    <row r="304" spans="3:5" x14ac:dyDescent="0.25">
      <c r="C304"/>
      <c r="E304"/>
    </row>
    <row r="305" spans="3:5" x14ac:dyDescent="0.25">
      <c r="C305"/>
      <c r="E305"/>
    </row>
    <row r="306" spans="3:5" x14ac:dyDescent="0.25">
      <c r="C306"/>
      <c r="E306"/>
    </row>
    <row r="307" spans="3:5" x14ac:dyDescent="0.25">
      <c r="C307"/>
      <c r="E307"/>
    </row>
    <row r="308" spans="3:5" x14ac:dyDescent="0.25">
      <c r="C308"/>
      <c r="E308"/>
    </row>
    <row r="309" spans="3:5" x14ac:dyDescent="0.25">
      <c r="C309"/>
      <c r="E309"/>
    </row>
    <row r="310" spans="3:5" x14ac:dyDescent="0.25">
      <c r="C310"/>
      <c r="E310"/>
    </row>
    <row r="311" spans="3:5" x14ac:dyDescent="0.25">
      <c r="C311"/>
      <c r="E311"/>
    </row>
    <row r="312" spans="3:5" x14ac:dyDescent="0.25">
      <c r="C312"/>
      <c r="E312"/>
    </row>
    <row r="313" spans="3:5" x14ac:dyDescent="0.25">
      <c r="C313"/>
      <c r="E313"/>
    </row>
    <row r="314" spans="3:5" x14ac:dyDescent="0.25">
      <c r="C314"/>
      <c r="E314"/>
    </row>
    <row r="315" spans="3:5" x14ac:dyDescent="0.25">
      <c r="C315"/>
      <c r="E315"/>
    </row>
    <row r="316" spans="3:5" x14ac:dyDescent="0.25">
      <c r="C316"/>
      <c r="E316"/>
    </row>
    <row r="317" spans="3:5" x14ac:dyDescent="0.25">
      <c r="C317"/>
      <c r="E317"/>
    </row>
    <row r="318" spans="3:5" x14ac:dyDescent="0.25">
      <c r="C318"/>
      <c r="E318"/>
    </row>
    <row r="319" spans="3:5" x14ac:dyDescent="0.25">
      <c r="C319"/>
      <c r="E319"/>
    </row>
    <row r="320" spans="3:5" x14ac:dyDescent="0.25">
      <c r="C320"/>
      <c r="E320"/>
    </row>
    <row r="321" spans="3:5" x14ac:dyDescent="0.25">
      <c r="C321"/>
      <c r="E321"/>
    </row>
    <row r="322" spans="3:5" x14ac:dyDescent="0.25">
      <c r="C322"/>
      <c r="E322"/>
    </row>
    <row r="323" spans="3:5" x14ac:dyDescent="0.25">
      <c r="C323"/>
      <c r="E323"/>
    </row>
    <row r="324" spans="3:5" x14ac:dyDescent="0.25">
      <c r="C324"/>
      <c r="E324"/>
    </row>
  </sheetData>
  <mergeCells count="3">
    <mergeCell ref="B9:B10"/>
    <mergeCell ref="B4:F6"/>
    <mergeCell ref="G8:H9"/>
  </mergeCells>
  <hyperlinks>
    <hyperlink ref="B2" location="'TABLE OF CONTENTS'!A1" display="Table of Contents"/>
    <hyperlink ref="D2" location="INCUBATION!A1" display="Step 1.2: Incubation Period Settings"/>
    <hyperlink ref="C2" location="Timeline!A1" display="Timeline"/>
    <hyperlink ref="E2" location="PEP_Decisions!A1" display="Step 2 PEP Decisions"/>
    <hyperlink ref="F2" location="IMPACT_ON_HLTHCARE!A1" display="IMPACT_ON_HLTHCARE!A1"/>
    <hyperlink ref="G8:H9" location="'Sverdlovsk Case Series'!A1" display="View Sverdlovsk Case Series"/>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99"/>
  </sheetPr>
  <dimension ref="A1:AH45"/>
  <sheetViews>
    <sheetView showGridLines="0" showRowColHeaders="0" zoomScaleNormal="100" workbookViewId="0">
      <selection activeCell="F2" sqref="F2:G5"/>
    </sheetView>
  </sheetViews>
  <sheetFormatPr defaultRowHeight="13.2" x14ac:dyDescent="0.25"/>
  <cols>
    <col min="1" max="1" width="1.33203125" style="459" customWidth="1"/>
    <col min="2" max="2" width="6.109375" style="17" customWidth="1"/>
    <col min="3" max="3" width="13" style="58" customWidth="1"/>
    <col min="4" max="4" width="11.5546875" style="17" customWidth="1"/>
    <col min="5" max="5" width="13.33203125" style="17" customWidth="1"/>
    <col min="6" max="6" width="9.6640625" style="17" customWidth="1"/>
    <col min="7" max="7" width="2.44140625" style="17" customWidth="1"/>
    <col min="8" max="8" width="14.44140625" style="17" customWidth="1"/>
    <col min="9" max="9" width="13.6640625" style="17" customWidth="1"/>
    <col min="10" max="10" width="13.44140625" style="17" customWidth="1"/>
    <col min="11" max="11" width="3.109375" style="17" customWidth="1"/>
    <col min="12" max="12" width="1.109375" style="17" customWidth="1"/>
    <col min="13" max="13" width="4.33203125" customWidth="1"/>
    <col min="14" max="19" width="4.33203125" style="17" customWidth="1"/>
    <col min="20" max="20" width="4.5546875" style="17" customWidth="1"/>
    <col min="21" max="32" width="4.33203125" style="17" customWidth="1"/>
    <col min="33" max="33" width="14.33203125" customWidth="1"/>
    <col min="34" max="34" width="37.5546875" hidden="1" customWidth="1"/>
    <col min="35" max="262" width="37.5546875" customWidth="1"/>
  </cols>
  <sheetData>
    <row r="1" spans="1:34" ht="6.75" customHeight="1" thickBot="1" x14ac:dyDescent="0.3">
      <c r="A1" s="457"/>
      <c r="B1" s="16"/>
      <c r="C1" s="57"/>
      <c r="D1" s="16"/>
      <c r="E1" s="16"/>
      <c r="F1" s="16"/>
      <c r="G1" s="16"/>
      <c r="H1" s="16"/>
      <c r="I1" s="16"/>
      <c r="J1" s="16"/>
      <c r="K1" s="14"/>
      <c r="L1" s="356"/>
      <c r="M1" s="356"/>
      <c r="N1" s="356"/>
      <c r="O1" s="356"/>
      <c r="P1" s="356"/>
      <c r="Q1" s="356"/>
      <c r="R1" s="356"/>
      <c r="S1" s="356"/>
      <c r="T1" s="356"/>
      <c r="U1" s="356"/>
      <c r="V1" s="356"/>
      <c r="W1" s="356"/>
      <c r="X1" s="356"/>
      <c r="Y1" s="356"/>
      <c r="Z1" s="356"/>
      <c r="AA1" s="356"/>
      <c r="AB1" s="356"/>
      <c r="AC1" s="356"/>
      <c r="AD1" s="356"/>
      <c r="AE1" s="356"/>
      <c r="AF1" s="471"/>
    </row>
    <row r="2" spans="1:34" ht="12.75" customHeight="1" thickTop="1" x14ac:dyDescent="0.25">
      <c r="A2" s="457"/>
      <c r="B2" s="74"/>
      <c r="C2" s="1070" t="s">
        <v>121</v>
      </c>
      <c r="D2" s="1112" t="s">
        <v>158</v>
      </c>
      <c r="E2" s="1103" t="s">
        <v>502</v>
      </c>
      <c r="F2" s="1097" t="s">
        <v>511</v>
      </c>
      <c r="G2" s="1098"/>
      <c r="H2" s="1106" t="s">
        <v>504</v>
      </c>
      <c r="I2" s="767"/>
      <c r="K2" s="74"/>
      <c r="L2" s="601"/>
      <c r="M2" s="911" t="s">
        <v>441</v>
      </c>
      <c r="N2" s="912"/>
      <c r="O2" s="912"/>
      <c r="P2" s="912"/>
      <c r="Q2" s="912"/>
      <c r="R2" s="913"/>
      <c r="S2" s="914"/>
      <c r="T2" s="915"/>
      <c r="U2" s="1089"/>
      <c r="V2" s="1090"/>
      <c r="W2" s="1090"/>
      <c r="X2" s="1080" t="s">
        <v>605</v>
      </c>
      <c r="Y2" s="1081"/>
      <c r="Z2" s="1081"/>
      <c r="AA2" s="1081"/>
      <c r="AB2" s="1082"/>
      <c r="AC2" s="440"/>
      <c r="AD2" s="440"/>
      <c r="AE2" s="602"/>
      <c r="AF2"/>
      <c r="AG2" s="54"/>
    </row>
    <row r="3" spans="1:34" ht="12.75" customHeight="1" x14ac:dyDescent="0.25">
      <c r="A3" s="457"/>
      <c r="B3" s="601"/>
      <c r="C3" s="1111"/>
      <c r="D3" s="1113"/>
      <c r="E3" s="1104"/>
      <c r="F3" s="1099"/>
      <c r="G3" s="1100"/>
      <c r="H3" s="1107"/>
      <c r="K3" s="601"/>
      <c r="L3" s="601"/>
      <c r="M3" s="916" t="s">
        <v>442</v>
      </c>
      <c r="N3" s="917"/>
      <c r="O3" s="917"/>
      <c r="P3" s="917"/>
      <c r="Q3" s="917"/>
      <c r="R3" s="1091" t="e">
        <f ca="1">'Epi-Curve Model'!E50</f>
        <v>#N/A</v>
      </c>
      <c r="S3" s="1091"/>
      <c r="T3" s="1092"/>
      <c r="U3" s="598"/>
      <c r="V3" s="598"/>
      <c r="W3" s="598"/>
      <c r="X3" s="1083"/>
      <c r="Y3" s="1084"/>
      <c r="Z3" s="1084"/>
      <c r="AA3" s="1084"/>
      <c r="AB3" s="1085"/>
      <c r="AC3" s="601"/>
      <c r="AD3" s="601"/>
      <c r="AE3" s="602"/>
      <c r="AF3"/>
      <c r="AG3" s="54"/>
    </row>
    <row r="4" spans="1:34" ht="13.5" customHeight="1" x14ac:dyDescent="0.25">
      <c r="A4" s="457"/>
      <c r="B4" s="601"/>
      <c r="C4" s="1111"/>
      <c r="D4" s="1113"/>
      <c r="E4" s="1104"/>
      <c r="F4" s="1099"/>
      <c r="G4" s="1100"/>
      <c r="H4" s="1107"/>
      <c r="K4" s="601"/>
      <c r="L4" s="601"/>
      <c r="M4" s="918" t="s">
        <v>434</v>
      </c>
      <c r="N4" s="917"/>
      <c r="O4" s="917"/>
      <c r="P4" s="917"/>
      <c r="Q4" s="917"/>
      <c r="R4" s="1093" t="e">
        <f ca="1">'Epi-Curve Model'!E51</f>
        <v>#N/A</v>
      </c>
      <c r="S4" s="1093"/>
      <c r="T4" s="1094"/>
      <c r="U4" s="598"/>
      <c r="V4" s="598"/>
      <c r="W4" s="598"/>
      <c r="X4" s="1083"/>
      <c r="Y4" s="1084"/>
      <c r="Z4" s="1084"/>
      <c r="AA4" s="1084"/>
      <c r="AB4" s="1085"/>
      <c r="AC4" s="601"/>
      <c r="AD4" s="601"/>
      <c r="AE4" s="602"/>
      <c r="AF4"/>
      <c r="AG4" s="54"/>
    </row>
    <row r="5" spans="1:34" ht="13.5" customHeight="1" thickBot="1" x14ac:dyDescent="0.3">
      <c r="A5" s="457"/>
      <c r="B5" s="601"/>
      <c r="C5" s="1071"/>
      <c r="D5" s="1114"/>
      <c r="E5" s="1105"/>
      <c r="F5" s="1101"/>
      <c r="G5" s="1102"/>
      <c r="H5" s="1108"/>
      <c r="K5" s="601"/>
      <c r="L5" s="601"/>
      <c r="M5" s="919" t="s">
        <v>435</v>
      </c>
      <c r="N5" s="920"/>
      <c r="O5" s="920"/>
      <c r="P5" s="920"/>
      <c r="Q5" s="920"/>
      <c r="R5" s="1109" t="e">
        <f ca="1">'Epi-Curve Model'!E52</f>
        <v>#N/A</v>
      </c>
      <c r="S5" s="1109"/>
      <c r="T5" s="1110"/>
      <c r="U5" s="598"/>
      <c r="V5" s="598"/>
      <c r="W5" s="598"/>
      <c r="X5" s="1086"/>
      <c r="Y5" s="1087"/>
      <c r="Z5" s="1087"/>
      <c r="AA5" s="1087"/>
      <c r="AB5" s="1088"/>
      <c r="AC5" s="601"/>
      <c r="AD5" s="601"/>
      <c r="AE5" s="602"/>
      <c r="AF5"/>
      <c r="AG5" s="54"/>
    </row>
    <row r="6" spans="1:34" ht="4.5" customHeight="1" x14ac:dyDescent="0.25">
      <c r="A6" s="457"/>
      <c r="B6" s="601"/>
      <c r="C6" s="613"/>
      <c r="D6" s="613"/>
      <c r="E6" s="613"/>
      <c r="F6" s="601"/>
      <c r="G6" s="601"/>
      <c r="K6" s="601"/>
      <c r="L6" s="601"/>
      <c r="V6" s="598"/>
      <c r="W6" s="598"/>
      <c r="X6" s="598"/>
      <c r="Y6" s="598"/>
      <c r="Z6" s="598"/>
      <c r="AA6" s="598"/>
      <c r="AB6" s="598"/>
      <c r="AC6" s="601"/>
      <c r="AD6" s="601"/>
      <c r="AE6" s="601"/>
      <c r="AF6" s="602"/>
      <c r="AH6" s="54"/>
    </row>
    <row r="7" spans="1:34" ht="4.5" customHeight="1" thickBot="1" x14ac:dyDescent="0.3">
      <c r="A7" s="457"/>
      <c r="B7" s="16"/>
      <c r="C7" s="57"/>
      <c r="D7" s="16"/>
      <c r="E7" s="16"/>
      <c r="F7" s="16"/>
      <c r="G7" s="16"/>
      <c r="H7" s="16"/>
      <c r="I7" s="16"/>
      <c r="J7" s="16"/>
      <c r="K7" s="14"/>
      <c r="L7" s="356"/>
      <c r="M7" s="356"/>
      <c r="N7" s="356"/>
      <c r="O7" s="356"/>
      <c r="P7" s="356"/>
      <c r="Q7" s="356"/>
      <c r="R7" s="356"/>
      <c r="S7" s="356"/>
      <c r="T7" s="356"/>
      <c r="U7" s="356"/>
      <c r="V7" s="356"/>
      <c r="W7" s="356"/>
      <c r="X7" s="356"/>
      <c r="Y7" s="356"/>
      <c r="Z7" s="356"/>
      <c r="AA7" s="356"/>
      <c r="AB7" s="356"/>
      <c r="AC7" s="356"/>
      <c r="AD7" s="356"/>
      <c r="AE7" s="356"/>
      <c r="AF7" s="14"/>
      <c r="AH7" s="54"/>
    </row>
    <row r="8" spans="1:34" ht="16.5" customHeight="1" thickBot="1" x14ac:dyDescent="0.3">
      <c r="A8" s="457"/>
      <c r="B8" s="795" t="s">
        <v>500</v>
      </c>
      <c r="C8" s="796"/>
      <c r="D8" s="797"/>
      <c r="E8" s="797"/>
      <c r="F8" s="797"/>
      <c r="G8" s="797"/>
      <c r="H8" s="797"/>
      <c r="I8" s="797"/>
      <c r="J8" s="797"/>
      <c r="K8" s="798"/>
      <c r="L8" s="612"/>
      <c r="M8" s="130"/>
      <c r="N8" s="130"/>
      <c r="O8" s="130"/>
      <c r="P8" s="130"/>
      <c r="Q8" s="130"/>
      <c r="R8" s="130"/>
      <c r="S8" s="130"/>
      <c r="T8" s="130"/>
      <c r="U8" s="130"/>
      <c r="V8" s="130"/>
      <c r="W8" s="130"/>
      <c r="X8" s="130"/>
      <c r="Y8" s="130"/>
      <c r="Z8" s="130"/>
      <c r="AA8" s="130"/>
      <c r="AB8" s="130"/>
      <c r="AC8" s="130"/>
      <c r="AD8" s="130"/>
      <c r="AE8" s="130"/>
      <c r="AF8" s="14"/>
      <c r="AH8" t="s">
        <v>119</v>
      </c>
    </row>
    <row r="9" spans="1:34" ht="15" customHeight="1" x14ac:dyDescent="0.25">
      <c r="A9" s="457"/>
      <c r="B9" s="1115" t="s">
        <v>631</v>
      </c>
      <c r="C9" s="1116"/>
      <c r="D9" s="1116"/>
      <c r="E9" s="1116"/>
      <c r="F9" s="1116"/>
      <c r="G9" s="1116"/>
      <c r="H9" s="1116"/>
      <c r="I9" s="1116"/>
      <c r="J9" s="1116"/>
      <c r="K9" s="1117"/>
      <c r="L9" s="599"/>
      <c r="M9" s="325"/>
      <c r="N9" s="325"/>
      <c r="O9" s="442"/>
      <c r="P9" s="442"/>
      <c r="Q9" s="442"/>
      <c r="R9" s="442"/>
      <c r="S9" s="442"/>
      <c r="T9" s="442"/>
      <c r="U9" s="442"/>
      <c r="V9" s="442"/>
      <c r="W9" s="442"/>
      <c r="X9" s="442"/>
      <c r="Y9" s="442"/>
      <c r="Z9" s="442"/>
      <c r="AA9" s="442"/>
      <c r="AB9" s="442"/>
      <c r="AC9" s="442"/>
      <c r="AD9" s="442"/>
      <c r="AE9" s="442"/>
      <c r="AF9" s="15"/>
      <c r="AH9" t="s">
        <v>166</v>
      </c>
    </row>
    <row r="10" spans="1:34" s="56" customFormat="1" ht="15" customHeight="1" x14ac:dyDescent="0.25">
      <c r="A10" s="457"/>
      <c r="B10" s="1118"/>
      <c r="C10" s="1119"/>
      <c r="D10" s="1119"/>
      <c r="E10" s="1119"/>
      <c r="F10" s="1119"/>
      <c r="G10" s="1119"/>
      <c r="H10" s="1119"/>
      <c r="I10" s="1119"/>
      <c r="J10" s="1119"/>
      <c r="K10" s="1120"/>
      <c r="L10" s="599"/>
      <c r="M10" s="325"/>
      <c r="N10" s="325"/>
      <c r="O10" s="442"/>
      <c r="P10" s="442"/>
      <c r="Q10" s="442"/>
      <c r="R10" s="442"/>
      <c r="S10" s="442"/>
      <c r="T10" s="442"/>
      <c r="U10" s="442"/>
      <c r="V10" s="442"/>
      <c r="W10" s="442"/>
      <c r="X10" s="442"/>
      <c r="Y10" s="442"/>
      <c r="Z10" s="442"/>
      <c r="AA10" s="442"/>
      <c r="AB10" s="442"/>
      <c r="AC10" s="442"/>
      <c r="AD10" s="442"/>
      <c r="AE10" s="442"/>
      <c r="AF10" s="15"/>
    </row>
    <row r="11" spans="1:34" s="56" customFormat="1" ht="15" customHeight="1" x14ac:dyDescent="0.25">
      <c r="A11" s="457"/>
      <c r="B11" s="1118"/>
      <c r="C11" s="1119"/>
      <c r="D11" s="1119"/>
      <c r="E11" s="1119"/>
      <c r="F11" s="1119"/>
      <c r="G11" s="1119"/>
      <c r="H11" s="1119"/>
      <c r="I11" s="1119"/>
      <c r="J11" s="1119"/>
      <c r="K11" s="1120"/>
      <c r="L11" s="599"/>
      <c r="M11" s="417"/>
      <c r="N11" s="417"/>
      <c r="O11" s="442"/>
      <c r="P11" s="442"/>
      <c r="Q11" s="442"/>
      <c r="R11" s="442"/>
      <c r="S11" s="442"/>
      <c r="T11" s="442"/>
      <c r="U11" s="442"/>
      <c r="V11" s="442"/>
      <c r="W11" s="442"/>
      <c r="X11" s="442"/>
      <c r="Y11" s="442"/>
      <c r="Z11" s="442"/>
      <c r="AA11" s="442"/>
      <c r="AB11" s="442"/>
      <c r="AC11" s="442"/>
      <c r="AD11" s="442"/>
      <c r="AE11" s="442"/>
      <c r="AF11" s="15"/>
    </row>
    <row r="12" spans="1:34" s="56" customFormat="1" ht="15.75" customHeight="1" x14ac:dyDescent="0.25">
      <c r="A12" s="457"/>
      <c r="B12" s="72"/>
      <c r="C12" s="255"/>
      <c r="D12" s="255"/>
      <c r="E12" s="442"/>
      <c r="F12" s="267"/>
      <c r="G12" s="267"/>
      <c r="H12" s="1095" t="s">
        <v>460</v>
      </c>
      <c r="I12" s="1096"/>
      <c r="J12" s="636"/>
      <c r="K12" s="73"/>
      <c r="L12" s="599"/>
      <c r="M12" s="325"/>
      <c r="N12" s="325"/>
      <c r="O12" s="442"/>
      <c r="P12" s="442"/>
      <c r="Q12" s="442"/>
      <c r="R12" s="442"/>
      <c r="S12" s="442"/>
      <c r="T12" s="442"/>
      <c r="U12" s="442"/>
      <c r="V12" s="442"/>
      <c r="W12" s="442"/>
      <c r="X12" s="442"/>
      <c r="Y12" s="442"/>
      <c r="Z12" s="442"/>
      <c r="AA12" s="442"/>
      <c r="AB12" s="442"/>
      <c r="AC12" s="442"/>
      <c r="AD12" s="442"/>
      <c r="AE12" s="442"/>
      <c r="AF12" s="15"/>
    </row>
    <row r="13" spans="1:34" s="56" customFormat="1" ht="27.75" customHeight="1" x14ac:dyDescent="0.25">
      <c r="A13" s="457"/>
      <c r="B13" s="453">
        <v>2.1</v>
      </c>
      <c r="C13" s="1121" t="s">
        <v>361</v>
      </c>
      <c r="D13" s="1121"/>
      <c r="E13" s="266" t="s">
        <v>120</v>
      </c>
      <c r="F13" s="263"/>
      <c r="G13" s="263"/>
      <c r="H13" s="855" t="s">
        <v>243</v>
      </c>
      <c r="I13" s="638" t="s">
        <v>539</v>
      </c>
      <c r="J13" s="635"/>
      <c r="K13" s="70"/>
      <c r="L13" s="61"/>
      <c r="M13" s="61"/>
      <c r="N13" s="61"/>
      <c r="O13" s="61"/>
      <c r="P13" s="61"/>
      <c r="Q13" s="61"/>
      <c r="R13" s="61"/>
      <c r="S13" s="61"/>
      <c r="T13" s="61"/>
      <c r="U13" s="61"/>
      <c r="V13" s="61"/>
      <c r="W13" s="61"/>
      <c r="X13" s="61"/>
      <c r="Y13" s="61"/>
      <c r="Z13" s="61"/>
      <c r="AA13" s="61"/>
      <c r="AB13" s="61"/>
      <c r="AC13" s="61"/>
      <c r="AD13" s="61"/>
      <c r="AE13" s="61"/>
      <c r="AF13" s="15"/>
    </row>
    <row r="14" spans="1:34" s="56" customFormat="1" ht="14.4" x14ac:dyDescent="0.3">
      <c r="A14" s="457"/>
      <c r="B14" s="62"/>
      <c r="C14" s="261"/>
      <c r="D14" s="258" t="s">
        <v>203</v>
      </c>
      <c r="E14" s="269">
        <v>6.85</v>
      </c>
      <c r="F14" s="272"/>
      <c r="G14" s="272"/>
      <c r="H14" s="270">
        <f>'Epi-Curve Model'!G17</f>
        <v>6.85</v>
      </c>
      <c r="I14" s="639">
        <f>'Epi-Curve Model'!N7</f>
        <v>8.89</v>
      </c>
      <c r="J14" s="637"/>
      <c r="K14" s="69"/>
      <c r="L14" s="357"/>
      <c r="M14" s="357"/>
      <c r="N14" s="357"/>
      <c r="O14" s="357"/>
      <c r="P14" s="357"/>
      <c r="Q14" s="357"/>
      <c r="R14" s="357"/>
      <c r="S14" s="357"/>
      <c r="T14" s="357"/>
      <c r="U14" s="357"/>
      <c r="V14" s="357"/>
      <c r="W14" s="357"/>
      <c r="X14" s="357"/>
      <c r="Y14" s="357"/>
      <c r="Z14" s="357"/>
      <c r="AA14" s="357"/>
      <c r="AB14" s="357"/>
      <c r="AC14" s="357"/>
      <c r="AD14" s="357"/>
      <c r="AE14" s="357"/>
      <c r="AF14" s="15"/>
      <c r="AH14" s="56">
        <v>1</v>
      </c>
    </row>
    <row r="15" spans="1:34" s="56" customFormat="1" ht="14.25" customHeight="1" x14ac:dyDescent="0.3">
      <c r="A15" s="457"/>
      <c r="B15" s="62"/>
      <c r="C15" s="259"/>
      <c r="D15" s="260" t="s">
        <v>444</v>
      </c>
      <c r="E15" s="268">
        <v>1.83</v>
      </c>
      <c r="F15" s="272"/>
      <c r="G15" s="272"/>
      <c r="H15" s="271">
        <f>'Epi-Curve Model'!G18</f>
        <v>1.83</v>
      </c>
      <c r="I15" s="640">
        <f>'Epi-Curve Model'!O7</f>
        <v>1.9193757443089139</v>
      </c>
      <c r="J15" s="637"/>
      <c r="K15" s="69"/>
      <c r="L15" s="357"/>
      <c r="M15" s="357"/>
      <c r="N15" s="357"/>
      <c r="O15" s="357"/>
      <c r="P15" s="357"/>
      <c r="Q15" s="357"/>
      <c r="R15" s="357"/>
      <c r="S15" s="357"/>
      <c r="T15" s="357"/>
      <c r="U15" s="357"/>
      <c r="V15" s="357"/>
      <c r="W15" s="357"/>
      <c r="X15" s="357"/>
      <c r="Y15" s="357"/>
      <c r="Z15" s="357"/>
      <c r="AA15" s="357"/>
      <c r="AB15" s="357"/>
      <c r="AC15" s="357"/>
      <c r="AD15" s="357"/>
      <c r="AE15" s="357"/>
      <c r="AF15" s="15"/>
      <c r="AH15" s="56">
        <v>2</v>
      </c>
    </row>
    <row r="16" spans="1:34" s="56" customFormat="1" ht="5.25" customHeight="1" x14ac:dyDescent="0.3">
      <c r="A16" s="457"/>
      <c r="B16" s="62"/>
      <c r="C16" s="256"/>
      <c r="D16" s="63"/>
      <c r="E16" s="71"/>
      <c r="F16" s="71"/>
      <c r="G16" s="71"/>
      <c r="H16" s="71"/>
      <c r="I16" s="71"/>
      <c r="J16" s="68"/>
      <c r="K16" s="69"/>
      <c r="L16" s="357"/>
      <c r="M16" s="357"/>
      <c r="N16" s="357"/>
      <c r="O16" s="357"/>
      <c r="P16" s="357"/>
      <c r="Q16" s="357"/>
      <c r="R16" s="357"/>
      <c r="S16" s="357"/>
      <c r="T16" s="357"/>
      <c r="U16" s="357"/>
      <c r="V16" s="357"/>
      <c r="W16" s="357"/>
      <c r="X16" s="357"/>
      <c r="Y16" s="357"/>
      <c r="Z16" s="357"/>
      <c r="AA16" s="357"/>
      <c r="AB16" s="357"/>
      <c r="AC16" s="357"/>
      <c r="AD16" s="357"/>
      <c r="AE16" s="357"/>
      <c r="AF16" s="15"/>
      <c r="AH16" s="56">
        <v>3</v>
      </c>
    </row>
    <row r="17" spans="1:34" s="56" customFormat="1" ht="14.25" customHeight="1" x14ac:dyDescent="0.25">
      <c r="A17" s="457"/>
      <c r="B17" s="62"/>
      <c r="C17" s="1068" t="s">
        <v>611</v>
      </c>
      <c r="D17" s="1068"/>
      <c r="E17" s="1068"/>
      <c r="F17" s="1068"/>
      <c r="G17" s="1068"/>
      <c r="H17" s="1068"/>
      <c r="I17" s="1068"/>
      <c r="K17" s="69"/>
      <c r="L17" s="357"/>
      <c r="M17" s="357"/>
      <c r="N17" s="357"/>
      <c r="O17" s="357"/>
      <c r="P17" s="357"/>
      <c r="Q17" s="357"/>
      <c r="R17" s="357"/>
      <c r="S17" s="357"/>
      <c r="T17" s="357"/>
      <c r="U17" s="357"/>
      <c r="V17" s="357"/>
      <c r="W17" s="357"/>
      <c r="X17" s="357"/>
      <c r="Y17" s="357"/>
      <c r="Z17" s="357"/>
      <c r="AA17" s="357"/>
      <c r="AB17" s="357"/>
      <c r="AC17" s="357"/>
      <c r="AD17" s="357"/>
      <c r="AE17" s="357"/>
      <c r="AF17" s="15"/>
    </row>
    <row r="18" spans="1:34" s="56" customFormat="1" ht="9" customHeight="1" x14ac:dyDescent="0.25">
      <c r="A18" s="457"/>
      <c r="B18" s="62"/>
      <c r="C18" s="1068"/>
      <c r="D18" s="1068"/>
      <c r="E18" s="1068"/>
      <c r="F18" s="1068"/>
      <c r="G18" s="1068"/>
      <c r="H18" s="1068"/>
      <c r="I18" s="1068"/>
      <c r="K18" s="69"/>
      <c r="L18" s="357"/>
      <c r="M18" s="357"/>
      <c r="N18" s="357"/>
      <c r="O18" s="357"/>
      <c r="P18" s="357"/>
      <c r="Q18" s="357"/>
      <c r="R18" s="357"/>
      <c r="S18" s="357"/>
      <c r="T18" s="357"/>
      <c r="U18" s="357"/>
      <c r="V18" s="357"/>
      <c r="W18" s="357"/>
      <c r="X18" s="357"/>
      <c r="Y18" s="357"/>
      <c r="Z18" s="357"/>
      <c r="AA18" s="357"/>
      <c r="AB18" s="357"/>
      <c r="AC18" s="357"/>
      <c r="AD18" s="357"/>
      <c r="AE18" s="357"/>
      <c r="AF18" s="15"/>
    </row>
    <row r="19" spans="1:34" s="56" customFormat="1" ht="4.5" customHeight="1" thickBot="1" x14ac:dyDescent="0.3">
      <c r="A19" s="457"/>
      <c r="B19" s="62"/>
      <c r="C19" s="792"/>
      <c r="D19" s="792"/>
      <c r="E19" s="792"/>
      <c r="F19" s="792"/>
      <c r="G19" s="792"/>
      <c r="H19" s="792"/>
      <c r="I19" s="792"/>
      <c r="J19" s="613"/>
      <c r="K19" s="69"/>
      <c r="L19" s="357"/>
      <c r="M19" s="357"/>
      <c r="N19" s="357"/>
      <c r="O19" s="357"/>
      <c r="P19" s="357"/>
      <c r="Q19" s="357"/>
      <c r="R19" s="357"/>
      <c r="S19" s="357"/>
      <c r="T19" s="357"/>
      <c r="U19" s="357"/>
      <c r="V19" s="357"/>
      <c r="W19" s="357"/>
      <c r="X19" s="357"/>
      <c r="Y19" s="357"/>
      <c r="Z19" s="357"/>
      <c r="AA19" s="357"/>
      <c r="AB19" s="357"/>
      <c r="AC19" s="357"/>
      <c r="AD19" s="357"/>
      <c r="AE19" s="357"/>
      <c r="AF19" s="15"/>
    </row>
    <row r="20" spans="1:34" s="56" customFormat="1" ht="25.5" customHeight="1" x14ac:dyDescent="0.25">
      <c r="A20" s="457"/>
      <c r="B20" s="62"/>
      <c r="C20" s="1068" t="s">
        <v>612</v>
      </c>
      <c r="D20" s="1068"/>
      <c r="E20" s="1068"/>
      <c r="F20" s="1068"/>
      <c r="G20" s="1068"/>
      <c r="H20" s="1068"/>
      <c r="I20" s="1068"/>
      <c r="J20" s="1070" t="s">
        <v>497</v>
      </c>
      <c r="K20" s="69"/>
      <c r="L20" s="357"/>
      <c r="M20" s="357"/>
      <c r="N20" s="357"/>
      <c r="O20" s="357"/>
      <c r="P20" s="357"/>
      <c r="Q20" s="357"/>
      <c r="R20" s="357"/>
      <c r="S20" s="357"/>
      <c r="T20" s="357"/>
      <c r="U20" s="357"/>
      <c r="V20" s="357"/>
      <c r="W20" s="357"/>
      <c r="X20" s="357"/>
      <c r="Y20" s="357"/>
      <c r="Z20" s="357"/>
      <c r="AA20" s="357"/>
      <c r="AB20" s="357"/>
      <c r="AC20" s="357"/>
      <c r="AD20" s="357"/>
      <c r="AE20" s="357"/>
      <c r="AF20" s="15"/>
    </row>
    <row r="21" spans="1:34" s="56" customFormat="1" ht="22.5" customHeight="1" thickBot="1" x14ac:dyDescent="0.3">
      <c r="A21" s="457"/>
      <c r="B21" s="62"/>
      <c r="C21" s="1068"/>
      <c r="D21" s="1068"/>
      <c r="E21" s="1068"/>
      <c r="F21" s="1068"/>
      <c r="G21" s="1068"/>
      <c r="H21" s="1068"/>
      <c r="I21" s="1068"/>
      <c r="J21" s="1071"/>
      <c r="K21" s="69"/>
      <c r="L21" s="357"/>
      <c r="M21" s="357"/>
      <c r="N21" s="357"/>
      <c r="O21" s="357"/>
      <c r="P21" s="357"/>
      <c r="Q21" s="357"/>
      <c r="R21" s="357"/>
      <c r="S21" s="357"/>
      <c r="T21" s="357"/>
      <c r="U21" s="357"/>
      <c r="V21" s="357"/>
      <c r="W21" s="357"/>
      <c r="X21" s="357"/>
      <c r="Y21" s="357"/>
      <c r="Z21" s="357"/>
      <c r="AA21" s="357"/>
      <c r="AB21" s="357"/>
      <c r="AC21" s="357"/>
      <c r="AD21" s="357"/>
      <c r="AE21" s="357"/>
      <c r="AF21" s="15"/>
    </row>
    <row r="22" spans="1:34" s="56" customFormat="1" ht="14.25" customHeight="1" x14ac:dyDescent="0.25">
      <c r="A22" s="457"/>
      <c r="B22" s="62"/>
      <c r="C22" s="555"/>
      <c r="D22" s="555"/>
      <c r="E22" s="555"/>
      <c r="F22" s="555"/>
      <c r="G22" s="555"/>
      <c r="H22" s="555"/>
      <c r="I22" s="555"/>
      <c r="J22" s="68"/>
      <c r="K22" s="69"/>
      <c r="L22" s="357"/>
      <c r="M22" s="357"/>
      <c r="N22" s="357"/>
      <c r="O22" s="357"/>
      <c r="P22" s="357"/>
      <c r="Q22" s="357"/>
      <c r="R22" s="357"/>
      <c r="S22" s="357"/>
      <c r="T22" s="357"/>
      <c r="U22" s="357"/>
      <c r="V22" s="357"/>
      <c r="W22" s="357"/>
      <c r="X22" s="357"/>
      <c r="Y22" s="357"/>
      <c r="Z22" s="357"/>
      <c r="AA22" s="357"/>
      <c r="AB22" s="357"/>
      <c r="AC22" s="357"/>
      <c r="AD22" s="357"/>
      <c r="AE22" s="357"/>
      <c r="AF22" s="15"/>
    </row>
    <row r="23" spans="1:34" s="56" customFormat="1" ht="14.25" customHeight="1" x14ac:dyDescent="0.3">
      <c r="A23" s="457"/>
      <c r="B23" s="453">
        <v>2.2000000000000002</v>
      </c>
      <c r="C23" s="1074" t="s">
        <v>400</v>
      </c>
      <c r="D23" s="1074"/>
      <c r="E23" s="299"/>
      <c r="F23" s="451"/>
      <c r="G23" s="451"/>
      <c r="H23" s="1068" t="s">
        <v>629</v>
      </c>
      <c r="I23" s="1068"/>
      <c r="J23" s="1068"/>
      <c r="K23" s="69"/>
      <c r="L23" s="357"/>
      <c r="M23" s="357"/>
      <c r="N23" s="357"/>
      <c r="O23" s="357"/>
      <c r="P23" s="357"/>
      <c r="Q23" s="357"/>
      <c r="R23" s="357"/>
      <c r="S23" s="357"/>
      <c r="T23" s="357"/>
      <c r="U23" s="357"/>
      <c r="V23" s="357"/>
      <c r="W23" s="357"/>
      <c r="X23" s="357"/>
      <c r="Y23" s="357"/>
      <c r="Z23" s="357"/>
      <c r="AA23" s="357"/>
      <c r="AB23" s="357"/>
      <c r="AC23" s="357"/>
      <c r="AD23" s="357"/>
      <c r="AE23" s="357"/>
      <c r="AF23" s="15"/>
    </row>
    <row r="24" spans="1:34" s="56" customFormat="1" ht="14.25" customHeight="1" x14ac:dyDescent="0.25">
      <c r="A24" s="457"/>
      <c r="B24" s="454"/>
      <c r="C24" s="1074"/>
      <c r="D24" s="1074"/>
      <c r="E24" s="555"/>
      <c r="F24" s="555"/>
      <c r="G24" s="555"/>
      <c r="H24" s="1068"/>
      <c r="I24" s="1068"/>
      <c r="J24" s="1068"/>
      <c r="K24" s="69"/>
      <c r="L24" s="357"/>
      <c r="M24" s="357"/>
      <c r="N24" s="357"/>
      <c r="O24" s="357"/>
      <c r="P24" s="357"/>
      <c r="Q24" s="357"/>
      <c r="R24" s="357"/>
      <c r="S24" s="357"/>
      <c r="T24" s="357"/>
      <c r="U24" s="357"/>
      <c r="V24" s="357"/>
      <c r="W24" s="357"/>
      <c r="X24" s="357"/>
      <c r="Y24" s="357"/>
      <c r="Z24" s="357"/>
      <c r="AA24" s="357"/>
      <c r="AB24" s="357"/>
      <c r="AC24" s="357"/>
      <c r="AD24" s="357"/>
      <c r="AE24" s="357"/>
      <c r="AF24" s="15"/>
    </row>
    <row r="25" spans="1:34" s="56" customFormat="1" ht="20.399999999999999" customHeight="1" x14ac:dyDescent="0.25">
      <c r="A25" s="457"/>
      <c r="B25" s="454"/>
      <c r="C25" s="462"/>
      <c r="D25" s="265"/>
      <c r="E25" s="555"/>
      <c r="F25" s="555"/>
      <c r="G25" s="555"/>
      <c r="H25" s="1068"/>
      <c r="I25" s="1068"/>
      <c r="J25" s="1068"/>
      <c r="K25" s="69"/>
      <c r="L25" s="357"/>
      <c r="M25" s="357"/>
      <c r="N25" s="357"/>
      <c r="O25" s="357"/>
      <c r="P25" s="357"/>
      <c r="Q25" s="357"/>
      <c r="R25" s="357"/>
      <c r="S25" s="357"/>
      <c r="T25" s="357"/>
      <c r="U25" s="357"/>
      <c r="V25" s="357"/>
      <c r="W25" s="357"/>
      <c r="X25" s="357"/>
      <c r="Y25" s="357"/>
      <c r="Z25" s="357"/>
      <c r="AA25" s="357"/>
      <c r="AB25" s="357"/>
      <c r="AC25" s="357"/>
      <c r="AD25" s="357"/>
      <c r="AE25" s="357"/>
      <c r="AF25" s="15"/>
    </row>
    <row r="26" spans="1:34" s="56" customFormat="1" ht="16.5" customHeight="1" x14ac:dyDescent="0.25">
      <c r="A26" s="457"/>
      <c r="B26" s="62"/>
      <c r="C26" s="461"/>
      <c r="D26" s="461"/>
      <c r="E26" s="1072" t="s">
        <v>120</v>
      </c>
      <c r="F26" s="1072"/>
      <c r="G26" s="266"/>
      <c r="H26" s="1075" t="s">
        <v>122</v>
      </c>
      <c r="I26" s="1075"/>
      <c r="J26" s="68"/>
      <c r="K26" s="69"/>
      <c r="L26" s="357"/>
      <c r="M26" s="357"/>
      <c r="N26" s="357"/>
      <c r="O26" s="357"/>
      <c r="P26" s="357"/>
      <c r="Q26" s="357"/>
      <c r="R26" s="357"/>
      <c r="S26" s="357"/>
      <c r="T26" s="357"/>
      <c r="U26" s="357"/>
      <c r="V26" s="357"/>
      <c r="W26" s="357"/>
      <c r="X26" s="357"/>
      <c r="Y26" s="357"/>
      <c r="Z26" s="357"/>
      <c r="AA26" s="357"/>
      <c r="AB26" s="357"/>
      <c r="AC26" s="357"/>
      <c r="AD26" s="357"/>
      <c r="AE26" s="357"/>
      <c r="AF26" s="15"/>
    </row>
    <row r="27" spans="1:34" s="56" customFormat="1" ht="14.25" customHeight="1" x14ac:dyDescent="0.3">
      <c r="A27" s="457"/>
      <c r="B27" s="454">
        <v>2.2999999999999998</v>
      </c>
      <c r="C27" s="462" t="s">
        <v>350</v>
      </c>
      <c r="D27" s="265"/>
      <c r="E27" s="1076" t="s">
        <v>604</v>
      </c>
      <c r="F27" s="1077"/>
      <c r="G27" s="71"/>
      <c r="H27" s="1073" t="s">
        <v>237</v>
      </c>
      <c r="I27" s="1073"/>
      <c r="J27" s="68"/>
      <c r="K27" s="69"/>
      <c r="L27" s="357"/>
      <c r="M27" s="357"/>
      <c r="N27" s="357"/>
      <c r="O27" s="357"/>
      <c r="P27" s="357"/>
      <c r="Q27" s="357"/>
      <c r="R27" s="357"/>
      <c r="S27" s="357"/>
      <c r="T27" s="357"/>
      <c r="U27" s="357"/>
      <c r="V27" s="357"/>
      <c r="W27" s="357"/>
      <c r="X27" s="357"/>
      <c r="Y27" s="357"/>
      <c r="Z27" s="357"/>
      <c r="AA27" s="357"/>
      <c r="AB27" s="357"/>
      <c r="AC27" s="357"/>
      <c r="AD27" s="357"/>
      <c r="AE27" s="357"/>
      <c r="AF27" s="15"/>
    </row>
    <row r="28" spans="1:34" s="56" customFormat="1" ht="14.25" customHeight="1" x14ac:dyDescent="0.3">
      <c r="A28" s="457"/>
      <c r="B28" s="62"/>
      <c r="C28" s="455"/>
      <c r="D28" s="455"/>
      <c r="E28" s="1078"/>
      <c r="F28" s="1079"/>
      <c r="G28" s="71"/>
      <c r="H28" s="71"/>
      <c r="I28" s="71"/>
      <c r="J28" s="68"/>
      <c r="K28" s="69"/>
      <c r="L28" s="357"/>
      <c r="M28" s="357"/>
      <c r="N28" s="357"/>
      <c r="O28" s="357"/>
      <c r="P28" s="357"/>
      <c r="Q28" s="357"/>
      <c r="R28" s="357"/>
      <c r="S28" s="357"/>
      <c r="T28" s="357"/>
      <c r="U28" s="357"/>
      <c r="V28" s="357"/>
      <c r="W28" s="357"/>
      <c r="X28" s="357"/>
      <c r="Y28" s="357"/>
      <c r="Z28" s="357"/>
      <c r="AA28" s="357"/>
      <c r="AB28" s="357"/>
      <c r="AC28" s="357"/>
      <c r="AD28" s="357"/>
      <c r="AE28" s="357"/>
      <c r="AF28" s="15"/>
    </row>
    <row r="29" spans="1:34" s="56" customFormat="1" ht="7.5" customHeight="1" x14ac:dyDescent="0.3">
      <c r="A29" s="457"/>
      <c r="B29" s="62"/>
      <c r="C29" s="455"/>
      <c r="D29" s="455"/>
      <c r="E29" s="463"/>
      <c r="F29" s="463"/>
      <c r="G29" s="71"/>
      <c r="H29" s="71"/>
      <c r="I29" s="71"/>
      <c r="J29" s="68"/>
      <c r="K29" s="69"/>
      <c r="L29" s="357"/>
      <c r="M29" s="357"/>
      <c r="N29" s="357"/>
      <c r="O29" s="357"/>
      <c r="P29" s="357"/>
      <c r="Q29" s="357"/>
      <c r="R29" s="357"/>
      <c r="S29" s="357"/>
      <c r="T29" s="357"/>
      <c r="U29" s="357"/>
      <c r="V29" s="357"/>
      <c r="W29" s="357"/>
      <c r="X29" s="357"/>
      <c r="Y29" s="357"/>
      <c r="Z29" s="357"/>
      <c r="AA29" s="357"/>
      <c r="AB29" s="357"/>
      <c r="AC29" s="357"/>
      <c r="AD29" s="357"/>
      <c r="AE29" s="357"/>
      <c r="AF29" s="15"/>
    </row>
    <row r="30" spans="1:34" s="56" customFormat="1" ht="14.25" customHeight="1" x14ac:dyDescent="0.25">
      <c r="A30" s="457"/>
      <c r="B30" s="62"/>
      <c r="C30" s="1068" t="s">
        <v>537</v>
      </c>
      <c r="D30" s="1068"/>
      <c r="E30" s="1068"/>
      <c r="F30" s="1068"/>
      <c r="G30" s="1068"/>
      <c r="H30" s="1068"/>
      <c r="I30" s="1068"/>
      <c r="J30" s="613"/>
      <c r="K30" s="69"/>
      <c r="L30" s="357"/>
      <c r="M30" s="357"/>
      <c r="N30" s="357"/>
      <c r="O30" s="357"/>
      <c r="P30" s="357"/>
      <c r="Q30" s="357"/>
      <c r="R30" s="357"/>
      <c r="S30" s="357"/>
      <c r="T30" s="357"/>
      <c r="U30" s="357"/>
      <c r="V30" s="357"/>
      <c r="W30" s="357"/>
      <c r="X30" s="357"/>
      <c r="Y30" s="357"/>
      <c r="Z30" s="357"/>
      <c r="AA30" s="357"/>
      <c r="AB30" s="357"/>
      <c r="AC30" s="357"/>
      <c r="AD30" s="357"/>
      <c r="AE30" s="357"/>
      <c r="AF30" s="15"/>
      <c r="AH30" s="56">
        <v>4</v>
      </c>
    </row>
    <row r="31" spans="1:34" s="56" customFormat="1" ht="15" customHeight="1" x14ac:dyDescent="0.25">
      <c r="A31" s="457"/>
      <c r="B31" s="62"/>
      <c r="C31" s="1068"/>
      <c r="D31" s="1068"/>
      <c r="E31" s="1068"/>
      <c r="F31" s="1068"/>
      <c r="G31" s="1068"/>
      <c r="H31" s="1068"/>
      <c r="I31" s="1068"/>
      <c r="J31" s="613"/>
      <c r="K31" s="69"/>
      <c r="L31" s="357"/>
      <c r="M31" s="357"/>
      <c r="N31" s="357"/>
      <c r="O31" s="357"/>
      <c r="P31" s="357"/>
      <c r="Q31" s="357"/>
      <c r="R31" s="357"/>
      <c r="S31" s="357"/>
      <c r="T31" s="357"/>
      <c r="U31" s="357"/>
      <c r="V31" s="357"/>
      <c r="W31" s="357"/>
      <c r="X31" s="357"/>
      <c r="Y31" s="357"/>
      <c r="Z31" s="357"/>
      <c r="AA31" s="357"/>
      <c r="AB31" s="357"/>
      <c r="AC31" s="357"/>
      <c r="AD31" s="357"/>
      <c r="AE31" s="357"/>
      <c r="AF31" s="131"/>
      <c r="AH31" s="56">
        <v>5</v>
      </c>
    </row>
    <row r="32" spans="1:34" s="56" customFormat="1" ht="6.75" customHeight="1" x14ac:dyDescent="0.25">
      <c r="A32" s="457"/>
      <c r="B32" s="62"/>
      <c r="C32" s="792"/>
      <c r="D32" s="792"/>
      <c r="E32" s="792"/>
      <c r="F32" s="792"/>
      <c r="G32" s="792"/>
      <c r="H32" s="792"/>
      <c r="I32" s="792"/>
      <c r="J32" s="613"/>
      <c r="K32" s="69"/>
      <c r="L32" s="357"/>
      <c r="M32" s="357"/>
      <c r="N32" s="357"/>
      <c r="O32" s="357"/>
      <c r="P32" s="357"/>
      <c r="Q32" s="357"/>
      <c r="R32" s="357"/>
      <c r="S32" s="357"/>
      <c r="T32" s="357"/>
      <c r="U32" s="357"/>
      <c r="V32" s="357"/>
      <c r="W32" s="357"/>
      <c r="X32" s="357"/>
      <c r="Y32" s="357"/>
      <c r="Z32" s="357"/>
      <c r="AA32" s="357"/>
      <c r="AB32" s="357"/>
      <c r="AC32" s="357"/>
      <c r="AD32" s="357"/>
      <c r="AE32" s="357"/>
      <c r="AF32" s="131"/>
    </row>
    <row r="33" spans="1:34" ht="13.5" customHeight="1" x14ac:dyDescent="0.25">
      <c r="A33" s="457"/>
      <c r="B33" s="62"/>
      <c r="C33" s="1068" t="s">
        <v>538</v>
      </c>
      <c r="D33" s="1068"/>
      <c r="E33" s="1068"/>
      <c r="F33" s="1068"/>
      <c r="G33" s="1068"/>
      <c r="H33" s="1068"/>
      <c r="I33" s="1068"/>
      <c r="J33" s="613"/>
      <c r="K33" s="69"/>
      <c r="L33" s="357"/>
      <c r="M33" s="357"/>
      <c r="N33" s="357"/>
      <c r="O33" s="357"/>
      <c r="P33" s="357"/>
      <c r="Q33" s="357"/>
      <c r="R33" s="357"/>
      <c r="S33" s="357"/>
      <c r="T33" s="357"/>
      <c r="U33" s="357"/>
      <c r="V33" s="357"/>
      <c r="W33" s="357"/>
      <c r="X33" s="357"/>
      <c r="Y33" s="357"/>
      <c r="Z33" s="357"/>
      <c r="AA33" s="357"/>
      <c r="AB33" s="357"/>
      <c r="AC33" s="357"/>
      <c r="AD33" s="357"/>
      <c r="AE33" s="357"/>
      <c r="AF33"/>
      <c r="AH33" s="56">
        <v>8</v>
      </c>
    </row>
    <row r="34" spans="1:34" x14ac:dyDescent="0.25">
      <c r="A34" s="458"/>
      <c r="B34" s="62"/>
      <c r="C34" s="1068"/>
      <c r="D34" s="1068"/>
      <c r="E34" s="1068"/>
      <c r="F34" s="1068"/>
      <c r="G34" s="1068"/>
      <c r="H34" s="1068"/>
      <c r="I34" s="1068"/>
      <c r="J34" s="419"/>
      <c r="K34" s="69"/>
      <c r="L34" s="357"/>
      <c r="M34" s="357"/>
      <c r="N34" s="357"/>
      <c r="O34" s="357"/>
      <c r="P34" s="357"/>
      <c r="Q34" s="357"/>
      <c r="R34" s="357"/>
      <c r="S34" s="357"/>
      <c r="T34" s="357"/>
      <c r="U34" s="357"/>
      <c r="V34" s="357"/>
      <c r="W34" s="357"/>
      <c r="X34" s="357"/>
      <c r="Y34" s="357"/>
      <c r="Z34" s="357"/>
      <c r="AA34" s="357"/>
      <c r="AB34" s="357"/>
      <c r="AC34" s="357"/>
      <c r="AD34" s="357"/>
      <c r="AE34" s="357"/>
      <c r="AF34"/>
      <c r="AH34" s="56"/>
    </row>
    <row r="35" spans="1:34" ht="12.75" customHeight="1" thickBot="1" x14ac:dyDescent="0.3">
      <c r="B35" s="64"/>
      <c r="C35" s="420"/>
      <c r="D35" s="420"/>
      <c r="E35" s="420"/>
      <c r="F35" s="420"/>
      <c r="G35" s="420"/>
      <c r="H35" s="420"/>
      <c r="I35" s="420"/>
      <c r="J35" s="420"/>
      <c r="K35" s="262"/>
      <c r="L35" s="357"/>
      <c r="M35" s="357"/>
      <c r="N35" s="357"/>
      <c r="O35" s="357"/>
      <c r="P35" s="357"/>
      <c r="Q35" s="357"/>
      <c r="R35" s="357"/>
      <c r="S35" s="357"/>
      <c r="T35" s="357"/>
      <c r="U35" s="357"/>
      <c r="V35" s="357"/>
      <c r="W35" s="357"/>
      <c r="X35" s="357"/>
      <c r="Y35" s="357"/>
      <c r="Z35" s="357"/>
      <c r="AA35" s="357"/>
      <c r="AB35" s="357"/>
      <c r="AC35" s="357"/>
      <c r="AD35" s="357"/>
      <c r="AE35" s="357"/>
      <c r="AF35"/>
      <c r="AH35" s="56"/>
    </row>
    <row r="36" spans="1:34" ht="12.75" customHeight="1" x14ac:dyDescent="0.25">
      <c r="B36" s="113"/>
      <c r="C36" s="419"/>
      <c r="D36" s="419"/>
      <c r="E36" s="419"/>
      <c r="F36" s="419"/>
      <c r="G36" s="419"/>
      <c r="H36" s="419"/>
      <c r="I36" s="419"/>
      <c r="J36" s="419"/>
      <c r="K36" s="68"/>
      <c r="L36" s="357"/>
      <c r="M36" s="554"/>
      <c r="N36" s="554"/>
      <c r="O36" s="460"/>
      <c r="P36" s="460"/>
      <c r="Q36" s="460"/>
      <c r="R36" s="460"/>
      <c r="S36" s="460"/>
      <c r="T36" s="460"/>
      <c r="U36" s="460"/>
      <c r="V36" s="460"/>
      <c r="W36" s="460"/>
      <c r="X36" s="460"/>
      <c r="Y36" s="460"/>
      <c r="Z36" s="460"/>
      <c r="AA36" s="460"/>
      <c r="AB36" s="460"/>
      <c r="AC36" s="460"/>
      <c r="AD36" s="460"/>
      <c r="AE36" s="460"/>
      <c r="AF36"/>
      <c r="AH36" s="56"/>
    </row>
    <row r="37" spans="1:34" ht="15" customHeight="1" x14ac:dyDescent="0.25">
      <c r="A37" s="456" t="s">
        <v>353</v>
      </c>
      <c r="B37" s="1069" t="s">
        <v>540</v>
      </c>
      <c r="C37" s="1069"/>
      <c r="D37" s="1069"/>
      <c r="E37" s="1069"/>
      <c r="F37" s="1069"/>
      <c r="G37" s="1069"/>
      <c r="H37" s="1069"/>
      <c r="I37" s="1069"/>
      <c r="J37" s="1069"/>
      <c r="K37" s="1069"/>
      <c r="L37" s="1069"/>
      <c r="M37" s="1069"/>
      <c r="N37" s="1069"/>
      <c r="O37" s="1069"/>
      <c r="P37" s="1069"/>
      <c r="Q37" s="1069"/>
      <c r="R37" s="1069"/>
      <c r="S37" s="1069"/>
      <c r="T37" s="1069"/>
      <c r="U37" s="1069"/>
      <c r="V37" s="1069"/>
      <c r="W37" s="1069"/>
      <c r="X37" s="460"/>
      <c r="Y37" s="460"/>
      <c r="Z37" s="460"/>
      <c r="AA37" s="460"/>
      <c r="AB37" s="460"/>
      <c r="AC37" s="460"/>
      <c r="AD37" s="460"/>
      <c r="AE37" s="460"/>
      <c r="AF37"/>
      <c r="AH37" s="56"/>
    </row>
    <row r="38" spans="1:34" x14ac:dyDescent="0.25">
      <c r="B38" s="1069"/>
      <c r="C38" s="1069"/>
      <c r="D38" s="1069"/>
      <c r="E38" s="1069"/>
      <c r="F38" s="1069"/>
      <c r="G38" s="1069"/>
      <c r="H38" s="1069"/>
      <c r="I38" s="1069"/>
      <c r="J38" s="1069"/>
      <c r="K38" s="1069"/>
      <c r="L38" s="1069"/>
      <c r="M38" s="1069"/>
      <c r="N38" s="1069"/>
      <c r="O38" s="1069"/>
      <c r="P38" s="1069"/>
      <c r="Q38" s="1069"/>
      <c r="R38" s="1069"/>
      <c r="S38" s="1069"/>
      <c r="T38" s="1069"/>
      <c r="U38" s="1069"/>
      <c r="V38" s="1069"/>
      <c r="W38" s="1069"/>
      <c r="X38" s="460"/>
      <c r="Y38" s="460"/>
      <c r="Z38" s="460"/>
      <c r="AA38" s="460"/>
      <c r="AB38" s="460"/>
      <c r="AC38" s="460"/>
      <c r="AD38" s="460"/>
      <c r="AE38" s="460"/>
      <c r="AF38"/>
      <c r="AH38" s="56"/>
    </row>
    <row r="39" spans="1:34" x14ac:dyDescent="0.25">
      <c r="B39" s="1069"/>
      <c r="C39" s="1069"/>
      <c r="D39" s="1069"/>
      <c r="E39" s="1069"/>
      <c r="F39" s="1069"/>
      <c r="G39" s="1069"/>
      <c r="H39" s="1069"/>
      <c r="I39" s="1069"/>
      <c r="J39" s="1069"/>
      <c r="K39" s="1069"/>
      <c r="L39" s="1069"/>
      <c r="M39" s="1069"/>
      <c r="N39" s="1069"/>
      <c r="O39" s="1069"/>
      <c r="P39" s="1069"/>
      <c r="Q39" s="1069"/>
      <c r="R39" s="1069"/>
      <c r="S39" s="1069"/>
      <c r="T39" s="1069"/>
      <c r="U39" s="1069"/>
      <c r="V39" s="1069"/>
      <c r="W39" s="1069"/>
      <c r="X39" s="460"/>
      <c r="Y39" s="460"/>
      <c r="Z39" s="460"/>
      <c r="AA39" s="460"/>
      <c r="AB39" s="460"/>
      <c r="AC39" s="460"/>
      <c r="AD39" s="460"/>
      <c r="AE39" s="460"/>
      <c r="AF39"/>
      <c r="AH39" s="56"/>
    </row>
    <row r="40" spans="1:34" ht="12.75" customHeight="1" x14ac:dyDescent="0.25">
      <c r="B40" s="1069"/>
      <c r="C40" s="1069"/>
      <c r="D40" s="1069"/>
      <c r="E40" s="1069"/>
      <c r="F40" s="1069"/>
      <c r="G40" s="1069"/>
      <c r="H40" s="1069"/>
      <c r="I40" s="1069"/>
      <c r="J40" s="1069"/>
      <c r="K40" s="1069"/>
      <c r="L40" s="1069"/>
      <c r="M40" s="1069"/>
      <c r="N40" s="1069"/>
      <c r="O40" s="1069"/>
      <c r="P40" s="1069"/>
      <c r="Q40" s="1069"/>
      <c r="R40" s="1069"/>
      <c r="S40" s="1069"/>
      <c r="T40" s="1069"/>
      <c r="U40" s="1069"/>
      <c r="V40" s="1069"/>
      <c r="W40" s="1069"/>
      <c r="X40" s="460"/>
      <c r="Y40" s="460"/>
      <c r="Z40" s="460"/>
      <c r="AA40" s="460"/>
      <c r="AB40" s="460"/>
      <c r="AC40" s="460"/>
      <c r="AD40" s="460"/>
      <c r="AE40" s="460"/>
      <c r="AF40"/>
      <c r="AH40" s="56"/>
    </row>
    <row r="41" spans="1:34" x14ac:dyDescent="0.25">
      <c r="B41" s="1069"/>
      <c r="C41" s="1069"/>
      <c r="D41" s="1069"/>
      <c r="E41" s="1069"/>
      <c r="F41" s="1069"/>
      <c r="G41" s="1069"/>
      <c r="H41" s="1069"/>
      <c r="I41" s="1069"/>
      <c r="J41" s="1069"/>
      <c r="K41" s="1069"/>
      <c r="L41" s="1069"/>
      <c r="M41" s="1069"/>
      <c r="N41" s="1069"/>
      <c r="O41" s="1069"/>
      <c r="P41" s="1069"/>
      <c r="Q41" s="1069"/>
      <c r="R41" s="1069"/>
      <c r="S41" s="1069"/>
      <c r="T41" s="1069"/>
      <c r="U41" s="1069"/>
      <c r="V41" s="1069"/>
      <c r="W41" s="1069"/>
      <c r="X41" s="460"/>
      <c r="Y41" s="460"/>
      <c r="Z41" s="460"/>
      <c r="AA41" s="460"/>
      <c r="AB41" s="460"/>
      <c r="AC41" s="460"/>
      <c r="AD41" s="460"/>
      <c r="AE41" s="460"/>
      <c r="AF41"/>
      <c r="AH41" s="56"/>
    </row>
    <row r="42" spans="1:34" x14ac:dyDescent="0.25">
      <c r="B42" s="1069"/>
      <c r="C42" s="1069"/>
      <c r="D42" s="1069"/>
      <c r="E42" s="1069"/>
      <c r="F42" s="1069"/>
      <c r="G42" s="1069"/>
      <c r="H42" s="1069"/>
      <c r="I42" s="1069"/>
      <c r="J42" s="1069"/>
      <c r="K42" s="1069"/>
      <c r="L42" s="1069"/>
      <c r="M42" s="1069"/>
      <c r="N42" s="1069"/>
      <c r="O42" s="1069"/>
      <c r="P42" s="1069"/>
      <c r="Q42" s="1069"/>
      <c r="R42" s="1069"/>
      <c r="S42" s="1069"/>
      <c r="T42" s="1069"/>
      <c r="U42" s="1069"/>
      <c r="V42" s="1069"/>
      <c r="W42" s="1069"/>
      <c r="X42" s="581"/>
      <c r="Y42" s="581"/>
      <c r="Z42" s="581"/>
      <c r="AA42" s="581"/>
      <c r="AB42" s="581"/>
      <c r="AC42" s="581"/>
      <c r="AD42" s="581"/>
      <c r="AE42" s="581"/>
      <c r="AF42"/>
      <c r="AH42" s="56"/>
    </row>
    <row r="43" spans="1:34" x14ac:dyDescent="0.25">
      <c r="B43" s="460"/>
      <c r="C43" s="460"/>
      <c r="D43" s="460"/>
      <c r="E43" s="460"/>
      <c r="F43" s="460"/>
      <c r="G43" s="460"/>
      <c r="H43" s="460"/>
      <c r="I43" s="460"/>
      <c r="J43" s="460"/>
      <c r="K43" s="460"/>
      <c r="L43" s="600"/>
      <c r="M43" s="460"/>
      <c r="N43" s="460"/>
      <c r="O43" s="460"/>
      <c r="P43" s="460"/>
      <c r="Q43" s="460"/>
      <c r="R43" s="460"/>
      <c r="S43" s="460"/>
      <c r="T43" s="460"/>
      <c r="U43" s="460"/>
      <c r="V43" s="460"/>
      <c r="W43" s="460"/>
      <c r="X43" s="460"/>
      <c r="Y43" s="460"/>
      <c r="Z43" s="460"/>
      <c r="AA43" s="460"/>
      <c r="AB43" s="460"/>
      <c r="AC43" s="460"/>
      <c r="AD43" s="460"/>
      <c r="AE43" s="460"/>
      <c r="AF43"/>
      <c r="AH43" s="56"/>
    </row>
    <row r="44" spans="1:34" ht="14.25" customHeight="1" x14ac:dyDescent="0.25">
      <c r="B44" s="460"/>
      <c r="C44" s="460"/>
      <c r="D44" s="460"/>
      <c r="E44" s="460"/>
      <c r="F44" s="460"/>
      <c r="G44" s="460"/>
      <c r="H44" s="460"/>
      <c r="I44" s="460"/>
      <c r="J44" s="460"/>
      <c r="K44" s="460"/>
      <c r="L44" s="600"/>
      <c r="M44" s="554"/>
      <c r="N44" s="554"/>
      <c r="O44" s="460"/>
      <c r="P44" s="460"/>
      <c r="Q44" s="460"/>
      <c r="R44" s="460"/>
      <c r="S44" s="460"/>
      <c r="T44" s="460"/>
      <c r="U44" s="460"/>
      <c r="V44" s="460"/>
      <c r="W44" s="460"/>
      <c r="X44" s="460"/>
      <c r="Y44" s="460"/>
      <c r="Z44" s="460"/>
      <c r="AA44" s="460"/>
      <c r="AB44" s="460"/>
      <c r="AC44" s="460"/>
      <c r="AD44" s="460"/>
      <c r="AE44" s="460"/>
      <c r="AF44"/>
      <c r="AH44" s="56"/>
    </row>
    <row r="45" spans="1:34" x14ac:dyDescent="0.25">
      <c r="B45" s="460"/>
      <c r="C45" s="460"/>
      <c r="D45" s="460"/>
      <c r="E45" s="460"/>
      <c r="F45" s="460"/>
      <c r="G45" s="460"/>
      <c r="H45" s="460"/>
      <c r="I45" s="460"/>
      <c r="J45" s="460"/>
      <c r="K45" s="460"/>
      <c r="L45" s="600"/>
    </row>
  </sheetData>
  <dataConsolidate/>
  <mergeCells count="25">
    <mergeCell ref="X2:AB5"/>
    <mergeCell ref="U2:W2"/>
    <mergeCell ref="R3:T3"/>
    <mergeCell ref="R4:T4"/>
    <mergeCell ref="C17:I18"/>
    <mergeCell ref="H12:I12"/>
    <mergeCell ref="F2:G5"/>
    <mergeCell ref="E2:E5"/>
    <mergeCell ref="H2:H5"/>
    <mergeCell ref="R5:T5"/>
    <mergeCell ref="C2:C5"/>
    <mergeCell ref="D2:D5"/>
    <mergeCell ref="B9:K11"/>
    <mergeCell ref="C13:D13"/>
    <mergeCell ref="C33:I34"/>
    <mergeCell ref="B37:W42"/>
    <mergeCell ref="C20:I21"/>
    <mergeCell ref="J20:J21"/>
    <mergeCell ref="C30:I31"/>
    <mergeCell ref="E26:F26"/>
    <mergeCell ref="H27:I27"/>
    <mergeCell ref="C23:D24"/>
    <mergeCell ref="H26:I26"/>
    <mergeCell ref="E27:F28"/>
    <mergeCell ref="H23:J25"/>
  </mergeCells>
  <dataValidations count="1">
    <dataValidation type="decimal" allowBlank="1" showInputMessage="1" showErrorMessage="1" error="You must enter a value between 1.0 and 60.0" sqref="E14:E15">
      <formula1>1</formula1>
      <formula2>60</formula2>
    </dataValidation>
  </dataValidations>
  <hyperlinks>
    <hyperlink ref="C2" location="'TABLE OF CONTENTS'!A1" display="Table of Contents"/>
    <hyperlink ref="D2" location="Timeline!A1" display="Timeline"/>
    <hyperlink ref="F2" location="PEP_Decisions!A1" display="Step 2: PEP Decisions"/>
    <hyperlink ref="H13" location="'Epi-Curve Model'!B15" display="Wilkening+"/>
    <hyperlink ref="I13" location="'Epi-Curve Model'!K2" display="Modified-Brookmeyerǂ"/>
    <hyperlink ref="E2:E5" location="CASE_COUNTS!C10" display="View Case Counts"/>
    <hyperlink ref="J20:J21" location="'Epi-Curve Model'!A1" display="View Epi-Curve Model"/>
    <hyperlink ref="H2:H5" location="IMPACT_ON_HLTHCARE!A1" display="IMPACT_ON_HLTHCARE!A1"/>
    <hyperlink ref="X2:AB5" location="'INTERPRETATION IN A REAL EVENT'!A1" display="Additional information: Interpreting results in a REAL event"/>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You must enter a value between 1.0 and 60.0">
          <x14:formula1>
            <xm:f>CASE_COUNTS!$C$10:$E$10</xm:f>
          </x14:formula1>
          <xm:sqref>E27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M32"/>
  <sheetViews>
    <sheetView workbookViewId="0">
      <selection activeCell="C5" sqref="C5"/>
    </sheetView>
  </sheetViews>
  <sheetFormatPr defaultRowHeight="13.2" x14ac:dyDescent="0.25"/>
  <cols>
    <col min="1" max="1" width="18.88671875" customWidth="1"/>
    <col min="2" max="2" width="16.33203125" customWidth="1"/>
    <col min="3" max="3" width="25.33203125" customWidth="1"/>
    <col min="4" max="4" width="30.88671875" customWidth="1"/>
    <col min="5" max="5" width="21" customWidth="1"/>
    <col min="6" max="7" width="15.6640625" customWidth="1"/>
    <col min="8" max="8" width="16.33203125" customWidth="1"/>
    <col min="9" max="9" width="12" customWidth="1"/>
    <col min="10" max="10" width="16" customWidth="1"/>
  </cols>
  <sheetData>
    <row r="1" spans="1:13" ht="14.4" x14ac:dyDescent="0.3">
      <c r="A1" s="18"/>
      <c r="B1" s="18"/>
      <c r="C1" s="1122" t="s">
        <v>22</v>
      </c>
      <c r="D1" s="1122"/>
      <c r="E1" s="1122" t="s">
        <v>23</v>
      </c>
      <c r="F1" s="1122"/>
      <c r="G1" s="1122"/>
      <c r="H1" s="1122"/>
      <c r="I1" s="18"/>
      <c r="J1" s="18"/>
      <c r="K1" s="18"/>
      <c r="L1" s="18"/>
      <c r="M1" s="18"/>
    </row>
    <row r="2" spans="1:13" ht="57.6" x14ac:dyDescent="0.3">
      <c r="A2" s="19" t="s">
        <v>24</v>
      </c>
      <c r="B2" s="19" t="s">
        <v>25</v>
      </c>
      <c r="C2" s="22" t="s">
        <v>26</v>
      </c>
      <c r="D2" s="22" t="s">
        <v>27</v>
      </c>
      <c r="E2" s="22" t="s">
        <v>28</v>
      </c>
      <c r="F2" s="19" t="s">
        <v>29</v>
      </c>
      <c r="G2" s="19" t="s">
        <v>30</v>
      </c>
      <c r="H2" s="19" t="s">
        <v>31</v>
      </c>
      <c r="I2" s="19" t="s">
        <v>32</v>
      </c>
      <c r="J2" s="19" t="s">
        <v>33</v>
      </c>
      <c r="K2" s="19" t="s">
        <v>34</v>
      </c>
      <c r="L2" s="19" t="s">
        <v>35</v>
      </c>
      <c r="M2" s="19" t="s">
        <v>36</v>
      </c>
    </row>
    <row r="3" spans="1:13" ht="86.4" x14ac:dyDescent="0.25">
      <c r="A3" s="23" t="s">
        <v>37</v>
      </c>
      <c r="B3" s="23" t="s">
        <v>38</v>
      </c>
      <c r="C3" s="24" t="s">
        <v>4</v>
      </c>
      <c r="D3" s="24" t="s">
        <v>10</v>
      </c>
      <c r="E3" s="25">
        <v>0.33333333329999998</v>
      </c>
      <c r="F3" s="26">
        <v>3</v>
      </c>
      <c r="G3" s="26" t="s">
        <v>39</v>
      </c>
      <c r="H3" s="26">
        <v>1</v>
      </c>
      <c r="I3" s="23" t="s">
        <v>40</v>
      </c>
      <c r="J3" s="23" t="s">
        <v>41</v>
      </c>
      <c r="K3" s="23"/>
      <c r="L3" s="23"/>
      <c r="M3" s="23" t="s">
        <v>42</v>
      </c>
    </row>
    <row r="4" spans="1:13" ht="57.6" x14ac:dyDescent="0.25">
      <c r="A4" s="23" t="s">
        <v>37</v>
      </c>
      <c r="B4" s="23" t="s">
        <v>43</v>
      </c>
      <c r="C4" s="24" t="s">
        <v>5</v>
      </c>
      <c r="D4" s="24" t="s">
        <v>18</v>
      </c>
      <c r="E4" s="25">
        <v>0.33333333329999998</v>
      </c>
      <c r="F4" s="26">
        <v>3</v>
      </c>
      <c r="G4" s="26" t="s">
        <v>39</v>
      </c>
      <c r="H4" s="26">
        <v>1</v>
      </c>
      <c r="I4" s="23" t="s">
        <v>40</v>
      </c>
      <c r="J4" s="23" t="s">
        <v>41</v>
      </c>
      <c r="K4" s="23"/>
      <c r="L4" s="23"/>
      <c r="M4" s="23" t="s">
        <v>42</v>
      </c>
    </row>
    <row r="5" spans="1:13" ht="57.6" x14ac:dyDescent="0.25">
      <c r="A5" s="23" t="s">
        <v>44</v>
      </c>
      <c r="B5" s="27" t="s">
        <v>45</v>
      </c>
      <c r="C5" s="24" t="s">
        <v>9</v>
      </c>
      <c r="D5" s="24" t="s">
        <v>46</v>
      </c>
      <c r="E5" s="25">
        <v>0.33333333329999998</v>
      </c>
      <c r="F5" s="26">
        <v>3</v>
      </c>
      <c r="G5" s="26" t="s">
        <v>39</v>
      </c>
      <c r="H5" s="26">
        <v>1</v>
      </c>
      <c r="I5" s="23" t="s">
        <v>47</v>
      </c>
      <c r="J5" s="23" t="s">
        <v>41</v>
      </c>
      <c r="K5" s="23"/>
      <c r="L5" s="23"/>
      <c r="M5" s="23" t="s">
        <v>42</v>
      </c>
    </row>
    <row r="6" spans="1:13" ht="57.6" x14ac:dyDescent="0.25">
      <c r="A6" s="23" t="s">
        <v>44</v>
      </c>
      <c r="B6" s="27" t="s">
        <v>48</v>
      </c>
      <c r="C6" s="24" t="s">
        <v>11</v>
      </c>
      <c r="D6" s="24"/>
      <c r="E6" s="25">
        <v>0.33333333329999998</v>
      </c>
      <c r="F6" s="26">
        <v>3</v>
      </c>
      <c r="G6" s="26" t="s">
        <v>39</v>
      </c>
      <c r="H6" s="26">
        <v>1</v>
      </c>
      <c r="I6" s="23" t="s">
        <v>47</v>
      </c>
      <c r="J6" s="23" t="s">
        <v>41</v>
      </c>
      <c r="K6" s="23"/>
      <c r="L6" s="23"/>
      <c r="M6" s="23" t="s">
        <v>42</v>
      </c>
    </row>
    <row r="7" spans="1:13" ht="86.4" x14ac:dyDescent="0.25">
      <c r="A7" s="23" t="s">
        <v>44</v>
      </c>
      <c r="B7" s="27" t="s">
        <v>49</v>
      </c>
      <c r="C7" s="24" t="s">
        <v>50</v>
      </c>
      <c r="D7" s="24" t="s">
        <v>8</v>
      </c>
      <c r="E7" s="25">
        <v>0.33333333329999998</v>
      </c>
      <c r="F7" s="26">
        <v>3</v>
      </c>
      <c r="G7" s="26" t="s">
        <v>39</v>
      </c>
      <c r="H7" s="26">
        <v>1</v>
      </c>
      <c r="I7" s="23" t="s">
        <v>47</v>
      </c>
      <c r="J7" s="23" t="s">
        <v>41</v>
      </c>
      <c r="K7" s="23"/>
      <c r="L7" s="23"/>
      <c r="M7" s="23" t="s">
        <v>42</v>
      </c>
    </row>
    <row r="8" spans="1:13" ht="100.8" x14ac:dyDescent="0.25">
      <c r="A8" s="23" t="s">
        <v>44</v>
      </c>
      <c r="B8" s="27" t="s">
        <v>51</v>
      </c>
      <c r="C8" s="24" t="s">
        <v>12</v>
      </c>
      <c r="D8" s="24" t="s">
        <v>7</v>
      </c>
      <c r="E8" s="25">
        <v>4</v>
      </c>
      <c r="F8" s="26">
        <v>2</v>
      </c>
      <c r="G8" s="26" t="s">
        <v>39</v>
      </c>
      <c r="H8" s="26">
        <v>1</v>
      </c>
      <c r="I8" s="23" t="s">
        <v>47</v>
      </c>
      <c r="J8" s="23" t="s">
        <v>41</v>
      </c>
      <c r="K8" s="23"/>
      <c r="L8" s="23"/>
      <c r="M8" s="23" t="s">
        <v>42</v>
      </c>
    </row>
    <row r="9" spans="1:13" ht="57.6" x14ac:dyDescent="0.25">
      <c r="A9" s="23" t="s">
        <v>52</v>
      </c>
      <c r="B9" s="23" t="s">
        <v>53</v>
      </c>
      <c r="C9" s="24" t="s">
        <v>54</v>
      </c>
      <c r="D9" s="24" t="s">
        <v>13</v>
      </c>
      <c r="E9" s="25">
        <v>0.33333333329999998</v>
      </c>
      <c r="F9" s="26">
        <v>3</v>
      </c>
      <c r="G9" s="26" t="s">
        <v>39</v>
      </c>
      <c r="H9" s="26">
        <v>1</v>
      </c>
      <c r="I9" s="23" t="s">
        <v>47</v>
      </c>
      <c r="J9" s="23" t="s">
        <v>41</v>
      </c>
      <c r="K9" s="23"/>
      <c r="L9" s="23"/>
      <c r="M9" s="23" t="s">
        <v>42</v>
      </c>
    </row>
    <row r="10" spans="1:13" ht="57.6" x14ac:dyDescent="0.25">
      <c r="A10" s="23" t="s">
        <v>52</v>
      </c>
      <c r="B10" s="23" t="s">
        <v>55</v>
      </c>
      <c r="C10" s="24" t="s">
        <v>56</v>
      </c>
      <c r="D10" s="24" t="s">
        <v>14</v>
      </c>
      <c r="E10" s="25">
        <v>1.3333333333333333</v>
      </c>
      <c r="F10" s="26">
        <v>1</v>
      </c>
      <c r="G10" s="26" t="s">
        <v>57</v>
      </c>
      <c r="H10" s="26">
        <v>1</v>
      </c>
      <c r="I10" s="23" t="s">
        <v>47</v>
      </c>
      <c r="J10" s="23" t="s">
        <v>41</v>
      </c>
      <c r="K10" s="23"/>
      <c r="L10" s="23"/>
      <c r="M10" s="23" t="s">
        <v>42</v>
      </c>
    </row>
    <row r="11" spans="1:13" ht="72" x14ac:dyDescent="0.25">
      <c r="A11" s="23" t="s">
        <v>52</v>
      </c>
      <c r="B11" s="23" t="s">
        <v>58</v>
      </c>
      <c r="C11" s="24" t="s">
        <v>20</v>
      </c>
      <c r="D11" s="24" t="s">
        <v>59</v>
      </c>
      <c r="E11" s="25">
        <v>1.3333333333333333</v>
      </c>
      <c r="F11" s="26">
        <v>0.16666666666666666</v>
      </c>
      <c r="G11" s="26" t="s">
        <v>60</v>
      </c>
      <c r="H11" s="26">
        <v>1</v>
      </c>
      <c r="I11" s="23" t="s">
        <v>61</v>
      </c>
      <c r="J11" s="23" t="s">
        <v>62</v>
      </c>
      <c r="K11" s="23"/>
      <c r="L11" s="23"/>
      <c r="M11" s="23" t="s">
        <v>63</v>
      </c>
    </row>
    <row r="12" spans="1:13" ht="57.6" x14ac:dyDescent="0.25">
      <c r="A12" s="27" t="s">
        <v>64</v>
      </c>
      <c r="B12" s="23" t="s">
        <v>65</v>
      </c>
      <c r="C12" s="24" t="s">
        <v>15</v>
      </c>
      <c r="D12" s="24" t="s">
        <v>13</v>
      </c>
      <c r="E12" s="25">
        <v>3</v>
      </c>
      <c r="F12" s="26">
        <v>1.1666666666666665</v>
      </c>
      <c r="G12" s="26" t="s">
        <v>66</v>
      </c>
      <c r="H12" s="26" t="s">
        <v>67</v>
      </c>
      <c r="I12" s="23" t="s">
        <v>68</v>
      </c>
      <c r="J12" s="29" t="s">
        <v>64</v>
      </c>
      <c r="K12" s="28"/>
      <c r="L12" s="28"/>
      <c r="M12" s="23" t="s">
        <v>68</v>
      </c>
    </row>
    <row r="13" spans="1:13" ht="129.6" x14ac:dyDescent="0.25">
      <c r="A13" s="27" t="s">
        <v>64</v>
      </c>
      <c r="B13" s="23" t="s">
        <v>69</v>
      </c>
      <c r="C13" s="24" t="s">
        <v>19</v>
      </c>
      <c r="D13" s="24" t="s">
        <v>16</v>
      </c>
      <c r="E13" s="25">
        <v>3</v>
      </c>
      <c r="F13" s="26">
        <v>2</v>
      </c>
      <c r="G13" s="26" t="s">
        <v>70</v>
      </c>
      <c r="H13" s="26">
        <v>1</v>
      </c>
      <c r="I13" s="30" t="s">
        <v>71</v>
      </c>
      <c r="J13" s="29" t="s">
        <v>72</v>
      </c>
      <c r="K13" s="28"/>
      <c r="L13" s="28"/>
      <c r="M13" s="29" t="s">
        <v>73</v>
      </c>
    </row>
    <row r="14" spans="1:13" ht="244.8" x14ac:dyDescent="0.25">
      <c r="A14" s="27" t="s">
        <v>64</v>
      </c>
      <c r="B14" s="23" t="s">
        <v>74</v>
      </c>
      <c r="C14" s="24" t="s">
        <v>75</v>
      </c>
      <c r="D14" s="24" t="s">
        <v>76</v>
      </c>
      <c r="E14" s="25">
        <v>3</v>
      </c>
      <c r="F14" s="26">
        <v>3</v>
      </c>
      <c r="G14" s="26" t="s">
        <v>77</v>
      </c>
      <c r="H14" s="26" t="s">
        <v>78</v>
      </c>
      <c r="I14" s="23" t="s">
        <v>79</v>
      </c>
      <c r="J14" s="29" t="s">
        <v>64</v>
      </c>
      <c r="K14" s="28"/>
      <c r="L14" s="28"/>
      <c r="M14" s="23" t="s">
        <v>79</v>
      </c>
    </row>
    <row r="15" spans="1:13" ht="244.8" x14ac:dyDescent="0.25">
      <c r="A15" s="27" t="s">
        <v>80</v>
      </c>
      <c r="B15" s="23" t="s">
        <v>81</v>
      </c>
      <c r="C15" s="24" t="s">
        <v>82</v>
      </c>
      <c r="D15" s="24" t="s">
        <v>83</v>
      </c>
      <c r="E15" s="25">
        <v>7</v>
      </c>
      <c r="F15" s="26">
        <v>21</v>
      </c>
      <c r="G15" s="26" t="s">
        <v>84</v>
      </c>
      <c r="H15" s="26">
        <v>7</v>
      </c>
      <c r="I15" s="30" t="s">
        <v>85</v>
      </c>
      <c r="J15" s="23" t="s">
        <v>41</v>
      </c>
      <c r="K15" s="28"/>
      <c r="L15" s="28"/>
      <c r="M15" s="30" t="s">
        <v>85</v>
      </c>
    </row>
    <row r="16" spans="1:13" ht="86.4" x14ac:dyDescent="0.25">
      <c r="A16" s="27" t="s">
        <v>80</v>
      </c>
      <c r="B16" s="23" t="s">
        <v>86</v>
      </c>
      <c r="C16" s="24" t="s">
        <v>82</v>
      </c>
      <c r="D16" s="24" t="s">
        <v>83</v>
      </c>
      <c r="E16" s="25">
        <v>7</v>
      </c>
      <c r="F16" s="26">
        <v>21</v>
      </c>
      <c r="G16" s="26" t="s">
        <v>84</v>
      </c>
      <c r="H16" s="26">
        <v>7</v>
      </c>
      <c r="I16" s="23" t="s">
        <v>87</v>
      </c>
      <c r="J16" s="23" t="s">
        <v>41</v>
      </c>
      <c r="K16" s="28"/>
      <c r="L16" s="28"/>
      <c r="M16" s="23" t="s">
        <v>87</v>
      </c>
    </row>
    <row r="17" spans="1:13" ht="72" x14ac:dyDescent="0.25">
      <c r="A17" s="27" t="s">
        <v>80</v>
      </c>
      <c r="B17" s="23" t="s">
        <v>88</v>
      </c>
      <c r="C17" s="24" t="s">
        <v>89</v>
      </c>
      <c r="D17" s="24" t="s">
        <v>83</v>
      </c>
      <c r="E17" s="25">
        <v>7</v>
      </c>
      <c r="F17" s="26">
        <v>21</v>
      </c>
      <c r="G17" s="26" t="s">
        <v>84</v>
      </c>
      <c r="H17" s="26">
        <v>7</v>
      </c>
      <c r="I17" s="23" t="s">
        <v>90</v>
      </c>
      <c r="J17" s="23" t="s">
        <v>41</v>
      </c>
      <c r="K17" s="28"/>
      <c r="L17" s="28"/>
      <c r="M17" s="23" t="s">
        <v>90</v>
      </c>
    </row>
    <row r="18" spans="1:13" ht="57.6" x14ac:dyDescent="0.25">
      <c r="A18" s="23" t="s">
        <v>52</v>
      </c>
      <c r="B18" s="29" t="s">
        <v>91</v>
      </c>
      <c r="C18" s="24" t="s">
        <v>92</v>
      </c>
      <c r="D18" s="24" t="s">
        <v>21</v>
      </c>
      <c r="E18" s="25">
        <v>0.33333333329999998</v>
      </c>
      <c r="F18" s="26" t="s">
        <v>93</v>
      </c>
      <c r="G18" s="26" t="s">
        <v>94</v>
      </c>
      <c r="H18" s="26" t="s">
        <v>93</v>
      </c>
      <c r="I18" s="29" t="s">
        <v>95</v>
      </c>
      <c r="J18" s="29" t="s">
        <v>62</v>
      </c>
      <c r="K18" s="28"/>
      <c r="L18" s="28"/>
      <c r="M18" s="29" t="s">
        <v>42</v>
      </c>
    </row>
    <row r="19" spans="1:13" ht="100.8" x14ac:dyDescent="0.25">
      <c r="A19" s="29" t="s">
        <v>96</v>
      </c>
      <c r="B19" s="29" t="s">
        <v>97</v>
      </c>
      <c r="C19" s="24" t="s">
        <v>17</v>
      </c>
      <c r="D19" s="24"/>
      <c r="E19" s="25">
        <v>4</v>
      </c>
      <c r="F19" s="26">
        <v>1</v>
      </c>
      <c r="G19" s="26" t="s">
        <v>98</v>
      </c>
      <c r="H19" s="26">
        <v>1</v>
      </c>
      <c r="I19" s="29" t="s">
        <v>99</v>
      </c>
      <c r="J19" s="29" t="s">
        <v>62</v>
      </c>
      <c r="K19" s="28"/>
      <c r="L19" s="28"/>
      <c r="M19" s="29" t="s">
        <v>100</v>
      </c>
    </row>
    <row r="20" spans="1:13" ht="129.6" x14ac:dyDescent="0.25">
      <c r="A20" s="23" t="s">
        <v>101</v>
      </c>
      <c r="B20" s="23" t="s">
        <v>102</v>
      </c>
      <c r="C20" s="24" t="s">
        <v>6</v>
      </c>
      <c r="D20" s="24"/>
      <c r="E20" s="25">
        <v>0.33333333329999998</v>
      </c>
      <c r="F20" s="26" t="s">
        <v>93</v>
      </c>
      <c r="G20" s="26" t="s">
        <v>98</v>
      </c>
      <c r="H20" s="26" t="s">
        <v>78</v>
      </c>
      <c r="I20" s="23"/>
      <c r="J20" s="23" t="s">
        <v>103</v>
      </c>
      <c r="K20" s="23"/>
      <c r="L20" s="23"/>
      <c r="M20" s="23" t="s">
        <v>104</v>
      </c>
    </row>
    <row r="21" spans="1:13" ht="14.4" x14ac:dyDescent="0.25">
      <c r="A21" s="28"/>
      <c r="B21" s="28"/>
      <c r="C21" s="31"/>
      <c r="D21" s="31"/>
      <c r="E21" s="31"/>
      <c r="F21" s="23"/>
      <c r="G21" s="28"/>
      <c r="H21" s="28"/>
      <c r="I21" s="28"/>
      <c r="J21" s="28"/>
      <c r="K21" s="28"/>
      <c r="L21" s="28"/>
      <c r="M21" s="28"/>
    </row>
    <row r="22" spans="1:13" ht="15" thickBot="1" x14ac:dyDescent="0.3">
      <c r="A22" s="35" t="s">
        <v>105</v>
      </c>
      <c r="B22" s="36"/>
      <c r="C22" s="37"/>
      <c r="D22" s="37"/>
      <c r="E22" s="37"/>
      <c r="F22" s="38"/>
      <c r="G22" s="36"/>
      <c r="H22" s="36"/>
      <c r="I22" s="36"/>
      <c r="J22" s="36"/>
      <c r="K22" s="36"/>
      <c r="L22" s="36"/>
      <c r="M22" s="36"/>
    </row>
    <row r="23" spans="1:13" ht="14.4" x14ac:dyDescent="0.25">
      <c r="A23" s="39" t="s">
        <v>106</v>
      </c>
      <c r="B23" s="39"/>
      <c r="C23" s="40"/>
      <c r="D23" s="40"/>
      <c r="E23" s="40"/>
      <c r="F23" s="41"/>
      <c r="G23" s="39"/>
      <c r="H23" s="39"/>
      <c r="I23" s="39"/>
      <c r="J23" s="39"/>
      <c r="K23" s="39"/>
      <c r="L23" s="39"/>
      <c r="M23" s="39"/>
    </row>
    <row r="24" spans="1:13" ht="86.4" x14ac:dyDescent="0.25">
      <c r="A24" s="32" t="s">
        <v>107</v>
      </c>
      <c r="B24" s="33" t="s">
        <v>108</v>
      </c>
      <c r="C24" s="34"/>
      <c r="D24" s="34"/>
      <c r="E24" s="34"/>
      <c r="F24" s="33"/>
      <c r="G24" s="33"/>
      <c r="H24" s="33"/>
      <c r="I24" s="33" t="s">
        <v>109</v>
      </c>
      <c r="J24" s="33" t="s">
        <v>41</v>
      </c>
      <c r="K24" s="33"/>
      <c r="L24" s="33"/>
      <c r="M24" s="33" t="s">
        <v>110</v>
      </c>
    </row>
    <row r="25" spans="1:13" ht="86.4" x14ac:dyDescent="0.25">
      <c r="A25" s="27" t="s">
        <v>107</v>
      </c>
      <c r="B25" s="23" t="s">
        <v>111</v>
      </c>
      <c r="C25" s="24"/>
      <c r="D25" s="24"/>
      <c r="E25" s="24"/>
      <c r="F25" s="23"/>
      <c r="G25" s="23"/>
      <c r="H25" s="23"/>
      <c r="I25" s="23" t="s">
        <v>109</v>
      </c>
      <c r="J25" s="23" t="s">
        <v>41</v>
      </c>
      <c r="K25" s="23"/>
      <c r="L25" s="23"/>
      <c r="M25" s="23" t="s">
        <v>110</v>
      </c>
    </row>
    <row r="26" spans="1:13" ht="86.4" x14ac:dyDescent="0.25">
      <c r="A26" s="27" t="s">
        <v>107</v>
      </c>
      <c r="B26" s="23" t="s">
        <v>112</v>
      </c>
      <c r="C26" s="24"/>
      <c r="D26" s="24"/>
      <c r="E26" s="24"/>
      <c r="F26" s="23"/>
      <c r="G26" s="23"/>
      <c r="H26" s="23"/>
      <c r="I26" s="23" t="s">
        <v>109</v>
      </c>
      <c r="J26" s="23" t="s">
        <v>41</v>
      </c>
      <c r="K26" s="23"/>
      <c r="L26" s="23"/>
      <c r="M26" s="23" t="s">
        <v>110</v>
      </c>
    </row>
    <row r="27" spans="1:13" ht="86.4" x14ac:dyDescent="0.25">
      <c r="A27" s="27" t="s">
        <v>107</v>
      </c>
      <c r="B27" s="23" t="s">
        <v>113</v>
      </c>
      <c r="C27" s="24"/>
      <c r="D27" s="24"/>
      <c r="E27" s="24"/>
      <c r="F27" s="28"/>
      <c r="G27" s="23"/>
      <c r="H27" s="23"/>
      <c r="I27" s="23" t="s">
        <v>109</v>
      </c>
      <c r="J27" s="23" t="s">
        <v>41</v>
      </c>
      <c r="K27" s="23"/>
      <c r="L27" s="23"/>
      <c r="M27" s="23" t="s">
        <v>110</v>
      </c>
    </row>
    <row r="28" spans="1:13" ht="14.4" x14ac:dyDescent="0.25">
      <c r="A28" s="20"/>
      <c r="B28" s="20"/>
      <c r="C28" s="21"/>
      <c r="D28" s="21"/>
      <c r="E28" s="21"/>
      <c r="F28" s="20"/>
      <c r="G28" s="20"/>
      <c r="H28" s="20"/>
      <c r="I28" s="20"/>
      <c r="J28" s="20"/>
      <c r="K28" s="20"/>
      <c r="L28" s="20"/>
      <c r="M28" s="20"/>
    </row>
    <row r="29" spans="1:13" ht="14.4" x14ac:dyDescent="0.25">
      <c r="A29" s="20" t="s">
        <v>114</v>
      </c>
      <c r="B29" s="20"/>
      <c r="C29" s="21"/>
      <c r="D29" s="21"/>
      <c r="E29" s="21"/>
      <c r="F29" s="20"/>
      <c r="G29" s="20"/>
      <c r="H29" s="20"/>
      <c r="I29" s="20"/>
      <c r="J29" s="20"/>
      <c r="K29" s="20"/>
      <c r="L29" s="20"/>
      <c r="M29" s="20"/>
    </row>
    <row r="30" spans="1:13" ht="14.4" x14ac:dyDescent="0.25">
      <c r="A30" s="20" t="s">
        <v>115</v>
      </c>
      <c r="B30" s="20"/>
      <c r="C30" s="21"/>
      <c r="D30" s="21"/>
      <c r="E30" s="21"/>
      <c r="F30" s="20"/>
      <c r="G30" s="20"/>
      <c r="H30" s="20"/>
      <c r="I30" s="20"/>
      <c r="J30" s="20"/>
      <c r="K30" s="20"/>
      <c r="L30" s="20"/>
      <c r="M30" s="20"/>
    </row>
    <row r="31" spans="1:13" ht="14.4" x14ac:dyDescent="0.25">
      <c r="A31" s="20" t="s">
        <v>116</v>
      </c>
      <c r="B31" s="20"/>
      <c r="C31" s="21"/>
      <c r="D31" s="21"/>
      <c r="E31" s="21"/>
      <c r="F31" s="20"/>
      <c r="G31" s="20"/>
      <c r="H31" s="20"/>
      <c r="I31" s="20"/>
      <c r="J31" s="20"/>
      <c r="K31" s="20"/>
      <c r="L31" s="20"/>
      <c r="M31" s="20"/>
    </row>
    <row r="32" spans="1:13" ht="14.4" x14ac:dyDescent="0.25">
      <c r="A32" s="20" t="s">
        <v>117</v>
      </c>
      <c r="B32" s="20"/>
      <c r="C32" s="21"/>
      <c r="D32" s="21"/>
      <c r="E32" s="21"/>
      <c r="F32" s="20"/>
      <c r="G32" s="20"/>
      <c r="H32" s="20"/>
      <c r="I32" s="20"/>
      <c r="J32" s="20"/>
      <c r="K32" s="20"/>
      <c r="L32" s="20"/>
      <c r="M32" s="20"/>
    </row>
  </sheetData>
  <mergeCells count="2">
    <mergeCell ref="C1:D1"/>
    <mergeCell ref="E1:H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99"/>
  </sheetPr>
  <dimension ref="A1:AF128"/>
  <sheetViews>
    <sheetView showGridLines="0" showRowColHeaders="0" zoomScaleNormal="100" workbookViewId="0"/>
  </sheetViews>
  <sheetFormatPr defaultRowHeight="13.2" x14ac:dyDescent="0.25"/>
  <cols>
    <col min="1" max="1" width="2.44140625" style="488" customWidth="1"/>
    <col min="2" max="2" width="6.44140625" style="17" customWidth="1"/>
    <col min="3" max="3" width="14.6640625" style="58" customWidth="1"/>
    <col min="4" max="4" width="8.5546875" style="17" customWidth="1"/>
    <col min="5" max="5" width="12.44140625" style="17" customWidth="1"/>
    <col min="6" max="6" width="9.88671875" style="17" customWidth="1"/>
    <col min="7" max="7" width="10.109375" style="17" customWidth="1"/>
    <col min="8" max="8" width="9.33203125" style="17" customWidth="1"/>
    <col min="9" max="9" width="5.33203125" style="17" customWidth="1"/>
    <col min="10" max="10" width="11.44140625" style="17" customWidth="1"/>
    <col min="11" max="11" width="2.109375" style="17" customWidth="1"/>
    <col min="12" max="12" width="0.88671875" style="17" customWidth="1"/>
    <col min="13" max="13" width="12.6640625" style="17" customWidth="1"/>
    <col min="14" max="14" width="14.33203125" customWidth="1"/>
    <col min="15" max="16" width="13.44140625" customWidth="1"/>
    <col min="17" max="17" width="9.44140625" customWidth="1"/>
    <col min="18" max="18" width="11.109375" customWidth="1"/>
    <col min="19" max="27" width="9.6640625" customWidth="1"/>
    <col min="28" max="28" width="12.33203125" customWidth="1"/>
    <col min="29" max="29" width="9.6640625" customWidth="1"/>
    <col min="30" max="30" width="11.109375" bestFit="1" customWidth="1"/>
    <col min="31" max="31" width="20.5546875" bestFit="1" customWidth="1"/>
    <col min="32" max="32" width="9.6640625" customWidth="1"/>
    <col min="33" max="243" width="37.5546875" customWidth="1"/>
  </cols>
  <sheetData>
    <row r="1" spans="1:32" ht="6.75" customHeight="1" thickBot="1" x14ac:dyDescent="0.3">
      <c r="A1" s="589"/>
      <c r="B1" s="16"/>
      <c r="C1" s="57"/>
      <c r="D1" s="16"/>
      <c r="E1" s="16"/>
      <c r="F1" s="16"/>
      <c r="G1" s="16"/>
      <c r="H1" s="16"/>
      <c r="I1" s="16"/>
      <c r="J1" s="16"/>
      <c r="K1" s="16"/>
      <c r="L1" s="356"/>
      <c r="M1" s="356"/>
      <c r="N1" s="471"/>
    </row>
    <row r="2" spans="1:32" ht="44.25" customHeight="1" thickBot="1" x14ac:dyDescent="0.3">
      <c r="A2" s="589"/>
      <c r="B2" s="1149" t="s">
        <v>531</v>
      </c>
      <c r="C2" s="1150"/>
      <c r="D2" s="1150"/>
      <c r="E2" s="1150"/>
      <c r="F2" s="1150"/>
      <c r="G2" s="1150"/>
      <c r="H2" s="1150"/>
      <c r="I2" s="1150"/>
      <c r="J2" s="1150"/>
      <c r="K2" s="1151"/>
      <c r="L2" s="415"/>
      <c r="M2" s="249" t="s">
        <v>121</v>
      </c>
      <c r="N2" s="250" t="s">
        <v>158</v>
      </c>
      <c r="O2" s="770" t="s">
        <v>502</v>
      </c>
      <c r="P2" s="572" t="s">
        <v>503</v>
      </c>
      <c r="Q2" s="1167" t="s">
        <v>504</v>
      </c>
      <c r="R2" s="1168"/>
      <c r="AD2" s="1147" t="s">
        <v>165</v>
      </c>
    </row>
    <row r="3" spans="1:32" ht="8.25" customHeight="1" thickBot="1" x14ac:dyDescent="0.3">
      <c r="A3" s="589"/>
      <c r="B3" s="113"/>
      <c r="C3" s="113"/>
      <c r="D3" s="419"/>
      <c r="E3" s="419"/>
      <c r="F3" s="419"/>
      <c r="G3" s="419"/>
      <c r="H3" s="419"/>
      <c r="I3" s="419"/>
      <c r="J3" s="419"/>
      <c r="K3" s="129"/>
      <c r="L3" s="356"/>
      <c r="M3" s="356"/>
      <c r="N3" s="14"/>
      <c r="P3" s="54"/>
      <c r="AD3" s="1147"/>
    </row>
    <row r="4" spans="1:32" ht="16.5" customHeight="1" thickBot="1" x14ac:dyDescent="0.3">
      <c r="A4" s="589"/>
      <c r="B4" s="795" t="s">
        <v>505</v>
      </c>
      <c r="C4" s="796"/>
      <c r="D4" s="797"/>
      <c r="E4" s="797"/>
      <c r="F4" s="797"/>
      <c r="G4" s="797"/>
      <c r="H4" s="797"/>
      <c r="I4" s="797"/>
      <c r="J4" s="797"/>
      <c r="K4" s="802"/>
      <c r="L4" s="130"/>
      <c r="M4" s="818"/>
      <c r="N4" s="819" t="s">
        <v>177</v>
      </c>
      <c r="O4" s="844" t="e">
        <f ca="1">'Epi-Curve Model'!$E$50</f>
        <v>#N/A</v>
      </c>
      <c r="P4" s="818"/>
      <c r="Q4" s="845" t="s">
        <v>170</v>
      </c>
      <c r="R4" s="846">
        <f>IF(O5=0,0,O4-O5)</f>
        <v>0</v>
      </c>
      <c r="Z4" t="s">
        <v>119</v>
      </c>
      <c r="AB4" s="165" t="s">
        <v>383</v>
      </c>
      <c r="AC4" s="56"/>
      <c r="AD4" s="1147"/>
      <c r="AE4" s="165" t="s">
        <v>384</v>
      </c>
      <c r="AF4" s="56"/>
    </row>
    <row r="5" spans="1:32" ht="15" customHeight="1" thickBot="1" x14ac:dyDescent="0.3">
      <c r="A5" s="589"/>
      <c r="B5" s="416"/>
      <c r="C5" s="417"/>
      <c r="D5" s="417"/>
      <c r="E5" s="263"/>
      <c r="F5" s="263"/>
      <c r="G5" s="263"/>
      <c r="H5" s="417"/>
      <c r="I5" s="417"/>
      <c r="J5" s="417"/>
      <c r="K5" s="418"/>
      <c r="L5" s="417"/>
      <c r="M5" s="821"/>
      <c r="N5" s="822" t="s">
        <v>178</v>
      </c>
      <c r="O5" s="847">
        <f>'PEP Impact Model'!L12</f>
        <v>0</v>
      </c>
      <c r="P5" s="821"/>
      <c r="Q5" s="809" t="s">
        <v>557</v>
      </c>
      <c r="R5" s="848" t="e">
        <f ca="1">ROUND(R4/(O4-'Epi-Curve Model'!J117),3)</f>
        <v>#N/A</v>
      </c>
      <c r="S5" s="859"/>
      <c r="T5" s="17"/>
      <c r="Z5" t="s">
        <v>166</v>
      </c>
      <c r="AB5" s="45">
        <f>'Epi-Curve Model'!B57-1</f>
        <v>-1</v>
      </c>
      <c r="AC5" s="46">
        <v>0</v>
      </c>
      <c r="AD5" s="166">
        <f>J33</f>
        <v>0</v>
      </c>
      <c r="AE5" s="166">
        <f>'Epi-Curve Model'!B57+1</f>
        <v>1</v>
      </c>
    </row>
    <row r="6" spans="1:32" s="56" customFormat="1" ht="15" customHeight="1" thickBot="1" x14ac:dyDescent="0.35">
      <c r="A6" s="589"/>
      <c r="B6" s="473" t="s">
        <v>506</v>
      </c>
      <c r="C6" s="134"/>
      <c r="D6" s="135" t="s">
        <v>357</v>
      </c>
      <c r="E6" s="151"/>
      <c r="F6" s="138"/>
      <c r="G6" s="476"/>
      <c r="H6" s="476"/>
      <c r="I6" s="476"/>
      <c r="J6" s="476"/>
      <c r="K6" s="139"/>
      <c r="L6" s="417"/>
      <c r="M6" s="849"/>
      <c r="N6" s="850" t="s">
        <v>380</v>
      </c>
      <c r="O6" s="851">
        <f>'PEP Impact Model'!H10</f>
        <v>0</v>
      </c>
      <c r="P6" s="852"/>
      <c r="Q6" s="853" t="s">
        <v>381</v>
      </c>
      <c r="R6" s="854">
        <f>IF(O6=0,0,'PEP Impact Model'!H12)</f>
        <v>0</v>
      </c>
      <c r="T6" s="860"/>
      <c r="AB6" s="45">
        <f>AB5+1</f>
        <v>0</v>
      </c>
      <c r="AC6" s="46">
        <v>0.16666666666666699</v>
      </c>
      <c r="AD6" s="166">
        <f>AD5+1</f>
        <v>1</v>
      </c>
      <c r="AE6" s="166">
        <f>AE5+1</f>
        <v>2</v>
      </c>
    </row>
    <row r="7" spans="1:32" s="56" customFormat="1" ht="6" customHeight="1" x14ac:dyDescent="0.3">
      <c r="A7" s="589"/>
      <c r="B7" s="473"/>
      <c r="C7" s="134"/>
      <c r="D7" s="135"/>
      <c r="E7" s="472"/>
      <c r="F7" s="138"/>
      <c r="G7" s="476"/>
      <c r="H7" s="476"/>
      <c r="I7" s="476"/>
      <c r="J7" s="476"/>
      <c r="K7" s="139"/>
      <c r="L7" s="442"/>
      <c r="AB7" s="45">
        <f t="shared" ref="AB7:AB26" si="0">AB6+1</f>
        <v>1</v>
      </c>
      <c r="AC7" s="46">
        <v>0.33333333333333298</v>
      </c>
      <c r="AD7" s="166">
        <f t="shared" ref="AD7:AE12" si="1">AD6+1</f>
        <v>2</v>
      </c>
      <c r="AE7" s="166">
        <f t="shared" si="1"/>
        <v>3</v>
      </c>
    </row>
    <row r="8" spans="1:32" s="56" customFormat="1" ht="15.75" customHeight="1" x14ac:dyDescent="0.25">
      <c r="A8" s="589"/>
      <c r="B8" s="132"/>
      <c r="C8" s="1172" t="s">
        <v>549</v>
      </c>
      <c r="D8" s="1172"/>
      <c r="E8" s="1172"/>
      <c r="F8" s="1172"/>
      <c r="G8" s="1172"/>
      <c r="H8" s="1172"/>
      <c r="I8" s="1172"/>
      <c r="J8" s="1172"/>
      <c r="K8" s="139"/>
      <c r="L8" s="417"/>
      <c r="M8" s="15"/>
      <c r="Z8" s="56">
        <v>1</v>
      </c>
      <c r="AB8" s="45">
        <f t="shared" si="0"/>
        <v>2</v>
      </c>
      <c r="AC8" s="46">
        <v>0.5</v>
      </c>
      <c r="AD8" s="166">
        <f t="shared" si="1"/>
        <v>3</v>
      </c>
      <c r="AE8" s="166">
        <f t="shared" si="1"/>
        <v>4</v>
      </c>
    </row>
    <row r="9" spans="1:32" s="56" customFormat="1" ht="27" customHeight="1" x14ac:dyDescent="0.25">
      <c r="A9" s="589"/>
      <c r="B9" s="132"/>
      <c r="C9" s="1172"/>
      <c r="D9" s="1172"/>
      <c r="E9" s="1172"/>
      <c r="F9" s="1172"/>
      <c r="G9" s="1172"/>
      <c r="H9" s="1172"/>
      <c r="I9" s="1172"/>
      <c r="J9" s="1172"/>
      <c r="K9" s="139"/>
      <c r="L9" s="61"/>
      <c r="M9" s="15"/>
      <c r="Z9" s="56">
        <v>2</v>
      </c>
      <c r="AB9" s="45">
        <f t="shared" si="0"/>
        <v>3</v>
      </c>
      <c r="AC9" s="46">
        <v>0.66666666666666696</v>
      </c>
      <c r="AD9" s="166">
        <f t="shared" si="1"/>
        <v>4</v>
      </c>
      <c r="AE9" s="166">
        <f t="shared" si="1"/>
        <v>5</v>
      </c>
    </row>
    <row r="10" spans="1:32" s="56" customFormat="1" ht="9" customHeight="1" x14ac:dyDescent="0.25">
      <c r="A10" s="589"/>
      <c r="B10" s="132"/>
      <c r="C10" s="1172"/>
      <c r="D10" s="1172"/>
      <c r="E10" s="1172"/>
      <c r="F10" s="1172"/>
      <c r="G10" s="1172"/>
      <c r="H10" s="1172"/>
      <c r="I10" s="1172"/>
      <c r="J10" s="1172"/>
      <c r="K10" s="139"/>
      <c r="L10" s="61"/>
      <c r="M10" s="15"/>
      <c r="Z10" s="56">
        <v>3</v>
      </c>
      <c r="AB10" s="45">
        <f t="shared" si="0"/>
        <v>4</v>
      </c>
      <c r="AC10" s="46">
        <v>0.83333333333333404</v>
      </c>
      <c r="AD10" s="166">
        <f t="shared" si="1"/>
        <v>5</v>
      </c>
      <c r="AE10" s="166">
        <f t="shared" si="1"/>
        <v>6</v>
      </c>
    </row>
    <row r="11" spans="1:32" s="56" customFormat="1" ht="14.4" x14ac:dyDescent="0.25">
      <c r="A11" s="589"/>
      <c r="B11" s="132"/>
      <c r="C11" s="1172"/>
      <c r="D11" s="1172"/>
      <c r="E11" s="1172"/>
      <c r="F11" s="1172"/>
      <c r="G11" s="1172"/>
      <c r="H11" s="1172"/>
      <c r="I11" s="1172"/>
      <c r="J11" s="1172"/>
      <c r="K11" s="139"/>
      <c r="L11" s="61"/>
      <c r="M11" s="15"/>
      <c r="Z11" s="56">
        <v>4</v>
      </c>
      <c r="AB11" s="45">
        <f>AB10+1</f>
        <v>5</v>
      </c>
      <c r="AC11" s="46"/>
      <c r="AD11" s="166">
        <f t="shared" si="1"/>
        <v>6</v>
      </c>
      <c r="AE11" s="166">
        <f t="shared" si="1"/>
        <v>7</v>
      </c>
    </row>
    <row r="12" spans="1:32" s="56" customFormat="1" ht="14.4" x14ac:dyDescent="0.25">
      <c r="A12" s="589"/>
      <c r="B12" s="132"/>
      <c r="C12" s="1172"/>
      <c r="D12" s="1172"/>
      <c r="E12" s="1172"/>
      <c r="F12" s="1172"/>
      <c r="G12" s="1172"/>
      <c r="H12" s="1172"/>
      <c r="I12" s="1172"/>
      <c r="J12" s="1172"/>
      <c r="K12" s="139"/>
      <c r="L12" s="61"/>
      <c r="M12" s="15"/>
      <c r="Z12" s="56">
        <v>5</v>
      </c>
      <c r="AB12" s="45">
        <f t="shared" si="0"/>
        <v>6</v>
      </c>
      <c r="AC12" s="46"/>
      <c r="AD12" s="166">
        <f t="shared" si="1"/>
        <v>7</v>
      </c>
      <c r="AE12" s="166">
        <f t="shared" si="1"/>
        <v>8</v>
      </c>
    </row>
    <row r="13" spans="1:32" s="56" customFormat="1" ht="14.4" x14ac:dyDescent="0.25">
      <c r="A13" s="589"/>
      <c r="B13" s="132"/>
      <c r="C13" s="1172"/>
      <c r="D13" s="1172"/>
      <c r="E13" s="1172"/>
      <c r="F13" s="1172"/>
      <c r="G13" s="1172"/>
      <c r="H13" s="1172"/>
      <c r="I13" s="1172"/>
      <c r="J13" s="1172"/>
      <c r="K13" s="139"/>
      <c r="L13" s="61"/>
      <c r="M13" s="15"/>
      <c r="Z13" s="56">
        <v>6</v>
      </c>
      <c r="AB13" s="45">
        <f t="shared" si="0"/>
        <v>7</v>
      </c>
      <c r="AC13" s="46"/>
      <c r="AD13" s="112"/>
      <c r="AE13" s="166">
        <f t="shared" ref="AE13:AE26" si="2">AE12+1</f>
        <v>9</v>
      </c>
    </row>
    <row r="14" spans="1:32" s="56" customFormat="1" ht="15" customHeight="1" x14ac:dyDescent="0.25">
      <c r="A14" s="589"/>
      <c r="B14" s="133"/>
      <c r="C14" s="113"/>
      <c r="D14" s="129"/>
      <c r="E14" s="129"/>
      <c r="F14" s="136"/>
      <c r="G14" s="1173" t="s">
        <v>358</v>
      </c>
      <c r="H14" s="1174"/>
      <c r="I14" s="1175"/>
      <c r="J14" s="475"/>
      <c r="K14" s="140"/>
      <c r="L14" s="357"/>
      <c r="M14" s="15"/>
      <c r="Z14" s="56">
        <v>7</v>
      </c>
      <c r="AB14" s="45">
        <f t="shared" si="0"/>
        <v>8</v>
      </c>
      <c r="AC14" s="46"/>
      <c r="AD14" s="112"/>
      <c r="AE14" s="166">
        <f t="shared" si="2"/>
        <v>10</v>
      </c>
    </row>
    <row r="15" spans="1:32" s="56" customFormat="1" ht="14.25" customHeight="1" x14ac:dyDescent="0.25">
      <c r="A15" s="589"/>
      <c r="B15" s="474" t="s">
        <v>160</v>
      </c>
      <c r="C15" s="1153" t="s">
        <v>356</v>
      </c>
      <c r="D15" s="1153"/>
      <c r="E15" s="1152"/>
      <c r="F15" s="137"/>
      <c r="G15" s="1176"/>
      <c r="H15" s="1177"/>
      <c r="I15" s="1178"/>
      <c r="J15" s="477"/>
      <c r="K15" s="140"/>
      <c r="L15" s="357"/>
      <c r="M15" s="15"/>
      <c r="Z15" s="56">
        <v>8</v>
      </c>
      <c r="AB15" s="45">
        <f t="shared" si="0"/>
        <v>9</v>
      </c>
      <c r="AC15" s="46"/>
      <c r="AD15" s="112"/>
      <c r="AE15" s="166">
        <f t="shared" si="2"/>
        <v>11</v>
      </c>
    </row>
    <row r="16" spans="1:32" s="56" customFormat="1" ht="14.25" customHeight="1" x14ac:dyDescent="0.25">
      <c r="A16" s="589"/>
      <c r="B16" s="133"/>
      <c r="C16" s="1153"/>
      <c r="D16" s="1153"/>
      <c r="E16" s="1152"/>
      <c r="F16" s="129"/>
      <c r="G16" s="1179" t="str">
        <f>IF(E6&gt;0,IF(E15&gt;0,ROUND(E6/E15,0)," ")," ")</f>
        <v xml:space="preserve"> </v>
      </c>
      <c r="H16" s="1180"/>
      <c r="I16" s="1181"/>
      <c r="J16" s="444"/>
      <c r="K16" s="140"/>
      <c r="L16" s="357"/>
      <c r="M16" s="15"/>
      <c r="Z16" s="56">
        <v>9</v>
      </c>
      <c r="AB16" s="45">
        <f t="shared" si="0"/>
        <v>10</v>
      </c>
      <c r="AC16" s="46"/>
      <c r="AD16" s="112"/>
      <c r="AE16" s="166">
        <f t="shared" si="2"/>
        <v>12</v>
      </c>
    </row>
    <row r="17" spans="1:31" s="56" customFormat="1" ht="14.25" customHeight="1" thickBot="1" x14ac:dyDescent="0.3">
      <c r="A17" s="589"/>
      <c r="B17" s="141"/>
      <c r="C17" s="142"/>
      <c r="D17" s="143"/>
      <c r="E17" s="143"/>
      <c r="F17" s="143"/>
      <c r="G17" s="143"/>
      <c r="H17" s="143"/>
      <c r="I17" s="143"/>
      <c r="J17" s="143"/>
      <c r="K17" s="144"/>
      <c r="L17" s="357"/>
      <c r="M17" s="15"/>
      <c r="Z17" s="56">
        <v>10</v>
      </c>
      <c r="AB17" s="45">
        <f t="shared" si="0"/>
        <v>11</v>
      </c>
      <c r="AC17" s="46"/>
      <c r="AD17" s="112"/>
      <c r="AE17" s="166">
        <f t="shared" si="2"/>
        <v>13</v>
      </c>
    </row>
    <row r="18" spans="1:31" s="56" customFormat="1" ht="7.5" customHeight="1" thickBot="1" x14ac:dyDescent="0.3">
      <c r="A18" s="590"/>
      <c r="B18" s="17"/>
      <c r="C18" s="58"/>
      <c r="D18" s="17"/>
      <c r="E18" s="17"/>
      <c r="F18" s="17"/>
      <c r="G18" s="17"/>
      <c r="H18" s="17"/>
      <c r="I18" s="17"/>
      <c r="J18" s="17"/>
      <c r="K18" s="17"/>
      <c r="L18" s="357"/>
      <c r="M18" s="357"/>
      <c r="N18" s="131"/>
      <c r="S18" s="519"/>
      <c r="T18" s="519"/>
      <c r="U18" s="519"/>
      <c r="V18" s="519"/>
      <c r="Z18" s="56">
        <v>11</v>
      </c>
      <c r="AB18" s="45">
        <f t="shared" si="0"/>
        <v>12</v>
      </c>
      <c r="AC18" s="46"/>
      <c r="AD18" s="112"/>
      <c r="AE18" s="166">
        <f t="shared" si="2"/>
        <v>14</v>
      </c>
    </row>
    <row r="19" spans="1:31" s="56" customFormat="1" ht="16.5" customHeight="1" thickBot="1" x14ac:dyDescent="0.3">
      <c r="A19" s="488"/>
      <c r="B19" s="795" t="s">
        <v>507</v>
      </c>
      <c r="C19" s="796"/>
      <c r="D19" s="797"/>
      <c r="E19" s="797"/>
      <c r="F19" s="797"/>
      <c r="G19" s="797"/>
      <c r="H19" s="797"/>
      <c r="I19" s="797"/>
      <c r="J19" s="797"/>
      <c r="K19" s="798"/>
      <c r="L19" s="357"/>
      <c r="M19" s="357"/>
      <c r="N19"/>
      <c r="Z19" s="56">
        <v>12</v>
      </c>
      <c r="AB19" s="45">
        <f t="shared" si="0"/>
        <v>13</v>
      </c>
      <c r="AC19" s="46"/>
      <c r="AD19" s="112"/>
      <c r="AE19" s="166">
        <f t="shared" si="2"/>
        <v>15</v>
      </c>
    </row>
    <row r="20" spans="1:31" s="56" customFormat="1" ht="11.25" customHeight="1" x14ac:dyDescent="0.25">
      <c r="A20" s="488"/>
      <c r="B20" s="1115" t="s">
        <v>359</v>
      </c>
      <c r="C20" s="1116"/>
      <c r="D20" s="1116"/>
      <c r="E20" s="1116"/>
      <c r="F20" s="1116"/>
      <c r="G20" s="1116"/>
      <c r="H20" s="1116"/>
      <c r="I20" s="1116"/>
      <c r="J20" s="1116"/>
      <c r="K20" s="1117"/>
      <c r="L20" s="357"/>
      <c r="M20" s="357"/>
      <c r="N20"/>
      <c r="Z20" s="56">
        <v>13</v>
      </c>
      <c r="AB20" s="45">
        <f t="shared" si="0"/>
        <v>14</v>
      </c>
      <c r="AC20" s="46"/>
      <c r="AD20" s="112"/>
      <c r="AE20" s="166">
        <f t="shared" si="2"/>
        <v>16</v>
      </c>
    </row>
    <row r="21" spans="1:31" x14ac:dyDescent="0.25">
      <c r="B21" s="441"/>
      <c r="C21" s="442"/>
      <c r="D21" s="442"/>
      <c r="E21" s="442"/>
      <c r="F21" s="442"/>
      <c r="G21" s="442"/>
      <c r="H21" s="442"/>
      <c r="I21" s="442"/>
      <c r="J21" s="442"/>
      <c r="K21" s="443"/>
      <c r="L21" s="357"/>
      <c r="M21" s="357"/>
      <c r="Z21" s="56">
        <v>14</v>
      </c>
      <c r="AB21" s="45">
        <f t="shared" si="0"/>
        <v>15</v>
      </c>
      <c r="AC21" s="46"/>
      <c r="AD21" s="112"/>
      <c r="AE21" s="166">
        <f t="shared" si="2"/>
        <v>17</v>
      </c>
    </row>
    <row r="22" spans="1:31" ht="13.2" customHeight="1" x14ac:dyDescent="0.25">
      <c r="B22" s="485" t="s">
        <v>375</v>
      </c>
      <c r="C22" s="1165" t="s">
        <v>601</v>
      </c>
      <c r="D22" s="1165"/>
      <c r="E22" s="1165"/>
      <c r="F22" s="452"/>
      <c r="G22" s="452"/>
      <c r="H22" s="442"/>
      <c r="I22" s="442"/>
      <c r="J22" s="442"/>
      <c r="K22" s="443"/>
      <c r="L22" s="130"/>
      <c r="M22" s="130"/>
      <c r="Z22" s="56">
        <v>15</v>
      </c>
      <c r="AB22" s="45">
        <f t="shared" si="0"/>
        <v>16</v>
      </c>
      <c r="AC22" s="46"/>
      <c r="AD22" s="112"/>
      <c r="AE22" s="166">
        <f t="shared" si="2"/>
        <v>18</v>
      </c>
    </row>
    <row r="23" spans="1:31" ht="15" customHeight="1" x14ac:dyDescent="0.3">
      <c r="B23" s="484"/>
      <c r="C23" s="481"/>
      <c r="D23" s="480" t="s">
        <v>360</v>
      </c>
      <c r="E23" s="299" t="s">
        <v>119</v>
      </c>
      <c r="F23" s="1292"/>
      <c r="G23" s="60"/>
      <c r="H23" s="170" t="s">
        <v>188</v>
      </c>
      <c r="I23" s="151">
        <v>2</v>
      </c>
      <c r="J23" s="445"/>
      <c r="K23" s="596"/>
      <c r="L23" s="130"/>
      <c r="M23" s="130"/>
      <c r="Z23" s="56">
        <v>16</v>
      </c>
      <c r="AB23" s="45">
        <f t="shared" si="0"/>
        <v>17</v>
      </c>
      <c r="AC23" s="46"/>
      <c r="AD23" s="112"/>
      <c r="AE23" s="166">
        <f t="shared" si="2"/>
        <v>19</v>
      </c>
    </row>
    <row r="24" spans="1:31" ht="13.5" customHeight="1" x14ac:dyDescent="0.25">
      <c r="B24" s="491"/>
      <c r="C24" s="1182" t="s">
        <v>425</v>
      </c>
      <c r="D24" s="1183"/>
      <c r="E24" s="1186">
        <v>2</v>
      </c>
      <c r="F24" s="1163" t="s">
        <v>544</v>
      </c>
      <c r="G24" s="1163"/>
      <c r="H24" s="1163"/>
      <c r="I24" s="1163"/>
      <c r="J24" s="1163"/>
      <c r="K24" s="1164"/>
      <c r="L24" s="130"/>
      <c r="M24" s="130"/>
      <c r="Z24" s="56">
        <v>17</v>
      </c>
      <c r="AB24" s="45">
        <f t="shared" si="0"/>
        <v>18</v>
      </c>
      <c r="AC24" s="46"/>
      <c r="AD24" s="112"/>
      <c r="AE24" s="166">
        <f t="shared" si="2"/>
        <v>20</v>
      </c>
    </row>
    <row r="25" spans="1:31" ht="12.75" customHeight="1" x14ac:dyDescent="0.25">
      <c r="B25" s="478"/>
      <c r="C25" s="1184"/>
      <c r="D25" s="1185"/>
      <c r="E25" s="1187"/>
      <c r="F25" s="1163"/>
      <c r="G25" s="1163"/>
      <c r="H25" s="1163"/>
      <c r="I25" s="1163"/>
      <c r="J25" s="1163"/>
      <c r="K25" s="1164"/>
      <c r="L25" s="442"/>
      <c r="M25" s="417"/>
      <c r="Z25" s="56">
        <v>18</v>
      </c>
      <c r="AB25" s="45">
        <f t="shared" si="0"/>
        <v>19</v>
      </c>
      <c r="AC25" s="46"/>
      <c r="AD25" s="112"/>
      <c r="AE25" s="166">
        <f t="shared" si="2"/>
        <v>21</v>
      </c>
    </row>
    <row r="26" spans="1:31" ht="12.75" customHeight="1" x14ac:dyDescent="0.25">
      <c r="B26" s="478"/>
      <c r="C26" s="448"/>
      <c r="D26" s="482"/>
      <c r="E26" s="136"/>
      <c r="F26" s="1163"/>
      <c r="G26" s="1163"/>
      <c r="H26" s="1163"/>
      <c r="I26" s="1163"/>
      <c r="J26" s="1163"/>
      <c r="K26" s="1164"/>
      <c r="L26" s="442"/>
      <c r="M26" s="442"/>
      <c r="Z26" s="56">
        <v>19</v>
      </c>
      <c r="AB26" s="45">
        <f t="shared" si="0"/>
        <v>20</v>
      </c>
      <c r="AC26" s="46"/>
      <c r="AD26" s="112"/>
      <c r="AE26" s="166">
        <f t="shared" si="2"/>
        <v>22</v>
      </c>
    </row>
    <row r="27" spans="1:31" ht="24.75" customHeight="1" x14ac:dyDescent="0.25">
      <c r="B27" s="485" t="s">
        <v>376</v>
      </c>
      <c r="C27" s="1074" t="s">
        <v>362</v>
      </c>
      <c r="D27" s="1074"/>
      <c r="E27" s="898" t="s">
        <v>120</v>
      </c>
      <c r="F27" s="898" t="s">
        <v>122</v>
      </c>
      <c r="G27" s="452"/>
      <c r="H27" s="442"/>
      <c r="I27" s="442"/>
      <c r="J27" s="442"/>
      <c r="K27" s="492"/>
      <c r="L27" s="442"/>
      <c r="M27" s="442"/>
      <c r="N27" s="223"/>
      <c r="O27" s="419"/>
      <c r="Z27" s="56">
        <v>20</v>
      </c>
      <c r="AB27" s="45"/>
      <c r="AC27" s="46"/>
      <c r="AD27" s="112"/>
      <c r="AE27" s="112"/>
    </row>
    <row r="28" spans="1:31" ht="28.5" customHeight="1" x14ac:dyDescent="0.25">
      <c r="B28" s="446"/>
      <c r="C28" s="1133" t="s">
        <v>420</v>
      </c>
      <c r="D28" s="1134"/>
      <c r="E28" s="501">
        <v>0.65</v>
      </c>
      <c r="F28" s="520">
        <v>0.65</v>
      </c>
      <c r="G28" s="447"/>
      <c r="H28" s="447"/>
      <c r="I28" s="172"/>
      <c r="J28" s="445"/>
      <c r="K28" s="443"/>
      <c r="L28" s="442"/>
      <c r="M28" s="417"/>
      <c r="N28" s="223"/>
      <c r="O28" s="444"/>
      <c r="AB28" s="45"/>
      <c r="AC28" s="46"/>
      <c r="AD28" s="112"/>
      <c r="AE28" s="112"/>
    </row>
    <row r="29" spans="1:31" ht="13.8" x14ac:dyDescent="0.25">
      <c r="B29" s="446"/>
      <c r="C29" s="1133" t="s">
        <v>423</v>
      </c>
      <c r="D29" s="1134"/>
      <c r="E29" s="483">
        <v>0.9</v>
      </c>
      <c r="F29" s="493">
        <v>0.9</v>
      </c>
      <c r="G29" s="1136" t="s">
        <v>204</v>
      </c>
      <c r="H29" s="1137"/>
      <c r="I29" s="1137"/>
      <c r="J29" s="1138"/>
      <c r="K29" s="492"/>
      <c r="L29" s="442"/>
      <c r="M29" s="442"/>
      <c r="N29" s="1068"/>
      <c r="O29" s="1068"/>
      <c r="AB29" s="45"/>
      <c r="AC29" s="46"/>
      <c r="AD29" s="112"/>
      <c r="AE29" s="112"/>
    </row>
    <row r="30" spans="1:31" ht="12.75" customHeight="1" x14ac:dyDescent="0.25">
      <c r="B30" s="297"/>
      <c r="C30" s="1139" t="s">
        <v>363</v>
      </c>
      <c r="D30" s="1140"/>
      <c r="E30" s="1143">
        <v>0.4</v>
      </c>
      <c r="F30" s="1145">
        <v>0.4</v>
      </c>
      <c r="G30" s="1125" t="s">
        <v>449</v>
      </c>
      <c r="H30" s="1126"/>
      <c r="I30" s="1129" t="str">
        <f>IF(E40&gt;0,AVERAGE('PEP Impact Model'!L19:L78),"requires response to 2.2.4")</f>
        <v>requires response to 2.2.4</v>
      </c>
      <c r="J30" s="1130"/>
      <c r="K30" s="492"/>
      <c r="L30" s="417"/>
      <c r="M30" s="417"/>
      <c r="N30" s="1068"/>
      <c r="O30" s="1068"/>
      <c r="AB30" s="45"/>
      <c r="AC30" s="46"/>
      <c r="AD30" s="112"/>
      <c r="AE30" s="112"/>
    </row>
    <row r="31" spans="1:31" ht="12.75" customHeight="1" x14ac:dyDescent="0.25">
      <c r="B31" s="449"/>
      <c r="C31" s="1141"/>
      <c r="D31" s="1142"/>
      <c r="E31" s="1144"/>
      <c r="F31" s="1146"/>
      <c r="G31" s="1127"/>
      <c r="H31" s="1128"/>
      <c r="I31" s="1131"/>
      <c r="J31" s="1132"/>
      <c r="K31" s="492"/>
      <c r="L31" s="442"/>
      <c r="M31" s="442"/>
      <c r="N31" s="1068"/>
      <c r="O31" s="1068"/>
      <c r="AB31" s="45"/>
      <c r="AC31" s="46"/>
      <c r="AD31" s="112"/>
      <c r="AE31" s="112"/>
    </row>
    <row r="32" spans="1:31" ht="15" customHeight="1" x14ac:dyDescent="0.25">
      <c r="B32" s="59"/>
      <c r="C32" s="450"/>
      <c r="D32" s="450"/>
      <c r="E32" s="172"/>
      <c r="F32" s="172"/>
      <c r="G32" s="290"/>
      <c r="H32" s="253"/>
      <c r="I32" s="254"/>
      <c r="J32" s="60"/>
      <c r="K32" s="492"/>
      <c r="L32" s="172"/>
      <c r="M32" s="172"/>
      <c r="AB32" s="45"/>
      <c r="AC32" s="46"/>
      <c r="AD32" s="112"/>
      <c r="AE32" s="112"/>
    </row>
    <row r="33" spans="1:31" ht="13.5" customHeight="1" x14ac:dyDescent="0.25">
      <c r="B33" s="485" t="s">
        <v>508</v>
      </c>
      <c r="C33" s="1154" t="s">
        <v>382</v>
      </c>
      <c r="D33" s="1155"/>
      <c r="E33" s="1158" t="s">
        <v>119</v>
      </c>
      <c r="F33" s="1162" t="s">
        <v>119</v>
      </c>
      <c r="G33" s="561" t="s">
        <v>397</v>
      </c>
      <c r="H33" s="562" t="s">
        <v>398</v>
      </c>
      <c r="I33" s="563"/>
      <c r="J33" s="564">
        <f>'Epi-Curve Model'!B200</f>
        <v>0</v>
      </c>
      <c r="K33" s="443"/>
      <c r="L33" s="130"/>
      <c r="M33" s="130"/>
      <c r="AB33" s="45"/>
      <c r="AC33" s="46"/>
      <c r="AD33" s="112"/>
      <c r="AE33" s="112"/>
    </row>
    <row r="34" spans="1:31" ht="13.5" customHeight="1" x14ac:dyDescent="0.25">
      <c r="B34" s="485"/>
      <c r="C34" s="1156"/>
      <c r="D34" s="1157"/>
      <c r="E34" s="1159"/>
      <c r="F34" s="1162"/>
      <c r="G34" s="549"/>
      <c r="H34" s="172"/>
      <c r="I34" s="560"/>
      <c r="J34" s="560"/>
      <c r="K34" s="443"/>
      <c r="L34" s="130"/>
      <c r="M34" s="130"/>
      <c r="AB34" s="45"/>
      <c r="AC34" s="46"/>
      <c r="AD34" s="112"/>
      <c r="AE34" s="112"/>
    </row>
    <row r="35" spans="1:31" ht="15" customHeight="1" x14ac:dyDescent="0.25">
      <c r="B35" s="487"/>
      <c r="C35" s="1154" t="s">
        <v>379</v>
      </c>
      <c r="D35" s="1155"/>
      <c r="E35" s="1160"/>
      <c r="F35" s="1148"/>
      <c r="G35" s="1135" t="s">
        <v>548</v>
      </c>
      <c r="H35" s="1135"/>
      <c r="I35" s="1135"/>
      <c r="J35" s="1135"/>
      <c r="K35" s="69"/>
      <c r="L35" s="130"/>
      <c r="M35" s="130"/>
      <c r="AB35" s="45"/>
      <c r="AC35" s="46"/>
      <c r="AD35" s="112"/>
      <c r="AE35" s="112"/>
    </row>
    <row r="36" spans="1:31" ht="17.25" customHeight="1" x14ac:dyDescent="0.25">
      <c r="B36" s="487"/>
      <c r="C36" s="1156"/>
      <c r="D36" s="1157"/>
      <c r="E36" s="1161"/>
      <c r="F36" s="1148"/>
      <c r="G36" s="1135"/>
      <c r="H36" s="1135"/>
      <c r="I36" s="1135"/>
      <c r="J36" s="1135"/>
      <c r="K36" s="69"/>
      <c r="L36" s="130"/>
      <c r="M36" s="130"/>
      <c r="AB36" s="45"/>
      <c r="AC36" s="46"/>
      <c r="AD36" s="112"/>
      <c r="AE36" s="112"/>
    </row>
    <row r="37" spans="1:31" ht="15" customHeight="1" thickBot="1" x14ac:dyDescent="0.3">
      <c r="B37" s="487"/>
      <c r="C37" s="486"/>
      <c r="D37" s="486"/>
      <c r="E37" s="68"/>
      <c r="F37" s="452"/>
      <c r="G37" s="452"/>
      <c r="J37" s="68"/>
      <c r="K37" s="69"/>
      <c r="L37" s="130"/>
      <c r="M37" s="130"/>
      <c r="AB37" s="45"/>
      <c r="AC37" s="46"/>
      <c r="AD37" s="112"/>
      <c r="AE37" s="112"/>
    </row>
    <row r="38" spans="1:31" ht="15" customHeight="1" x14ac:dyDescent="0.25">
      <c r="B38" s="487" t="s">
        <v>509</v>
      </c>
      <c r="C38" s="1154" t="s">
        <v>364</v>
      </c>
      <c r="D38" s="1155"/>
      <c r="E38" s="1158" t="s">
        <v>119</v>
      </c>
      <c r="F38" s="1169" t="s">
        <v>119</v>
      </c>
      <c r="G38" s="507"/>
      <c r="H38" s="968" t="s">
        <v>365</v>
      </c>
      <c r="I38" s="970"/>
      <c r="J38" s="68"/>
      <c r="K38" s="69"/>
      <c r="L38" s="130"/>
      <c r="M38" s="130"/>
    </row>
    <row r="39" spans="1:31" ht="15" customHeight="1" x14ac:dyDescent="0.25">
      <c r="B39" s="487"/>
      <c r="C39" s="1170"/>
      <c r="D39" s="1171"/>
      <c r="E39" s="1159"/>
      <c r="F39" s="1169"/>
      <c r="G39" s="507"/>
      <c r="H39" s="971"/>
      <c r="I39" s="973"/>
      <c r="J39" s="68"/>
      <c r="K39" s="69"/>
      <c r="L39" s="130"/>
      <c r="M39" s="130"/>
    </row>
    <row r="40" spans="1:31" ht="15" customHeight="1" x14ac:dyDescent="0.25">
      <c r="B40" s="62"/>
      <c r="C40" s="1154" t="s">
        <v>161</v>
      </c>
      <c r="D40" s="1155"/>
      <c r="E40" s="1160"/>
      <c r="F40" s="1148"/>
      <c r="G40" s="172"/>
      <c r="H40" s="971"/>
      <c r="I40" s="973"/>
      <c r="J40" s="68"/>
      <c r="K40" s="69"/>
      <c r="L40" s="130"/>
      <c r="M40" s="130"/>
    </row>
    <row r="41" spans="1:31" ht="15" customHeight="1" thickBot="1" x14ac:dyDescent="0.3">
      <c r="B41" s="297"/>
      <c r="C41" s="1156"/>
      <c r="D41" s="1157"/>
      <c r="E41" s="1161"/>
      <c r="F41" s="1148"/>
      <c r="G41" s="172"/>
      <c r="H41" s="974"/>
      <c r="I41" s="976"/>
      <c r="J41" s="172"/>
      <c r="K41" s="494"/>
      <c r="L41" s="130"/>
      <c r="M41" s="130"/>
    </row>
    <row r="42" spans="1:31" ht="10.5" customHeight="1" thickBot="1" x14ac:dyDescent="0.3">
      <c r="B42" s="175"/>
      <c r="C42" s="495"/>
      <c r="D42" s="495"/>
      <c r="E42" s="496"/>
      <c r="F42" s="497"/>
      <c r="G42" s="298"/>
      <c r="H42" s="298"/>
      <c r="I42" s="298"/>
      <c r="J42" s="298"/>
      <c r="K42" s="67"/>
      <c r="L42" s="130"/>
      <c r="M42" s="130"/>
    </row>
    <row r="43" spans="1:31" ht="9.75" customHeight="1" x14ac:dyDescent="0.25">
      <c r="C43" s="479"/>
      <c r="D43" s="479"/>
      <c r="E43" s="489"/>
      <c r="F43" s="490"/>
      <c r="K43" s="130"/>
      <c r="L43" s="130"/>
      <c r="M43" s="130"/>
    </row>
    <row r="44" spans="1:31" ht="15" customHeight="1" x14ac:dyDescent="0.25">
      <c r="A44" s="588" t="s">
        <v>351</v>
      </c>
      <c r="B44" s="1124" t="s">
        <v>419</v>
      </c>
      <c r="C44" s="1124"/>
      <c r="D44" s="1124"/>
      <c r="E44" s="1124"/>
      <c r="F44" s="1124"/>
      <c r="G44" s="1124"/>
      <c r="H44" s="1124"/>
      <c r="I44" s="1124"/>
      <c r="J44" s="1124"/>
      <c r="K44" s="1124"/>
      <c r="L44" s="1124"/>
      <c r="M44" s="1124"/>
      <c r="N44" s="1124"/>
      <c r="O44" s="1124"/>
      <c r="P44" s="1124"/>
      <c r="Q44" s="1124"/>
      <c r="R44" s="1124"/>
    </row>
    <row r="45" spans="1:31" ht="15" customHeight="1" x14ac:dyDescent="0.25">
      <c r="B45" s="1124"/>
      <c r="C45" s="1124"/>
      <c r="D45" s="1124"/>
      <c r="E45" s="1124"/>
      <c r="F45" s="1124"/>
      <c r="G45" s="1124"/>
      <c r="H45" s="1124"/>
      <c r="I45" s="1124"/>
      <c r="J45" s="1124"/>
      <c r="K45" s="1124"/>
      <c r="L45" s="1124"/>
      <c r="M45" s="1124"/>
      <c r="N45" s="1124"/>
      <c r="O45" s="1124"/>
      <c r="P45" s="1124"/>
      <c r="Q45" s="1124"/>
      <c r="R45" s="1124"/>
    </row>
    <row r="46" spans="1:31" ht="15" customHeight="1" x14ac:dyDescent="0.25">
      <c r="B46" s="1124"/>
      <c r="C46" s="1124"/>
      <c r="D46" s="1124"/>
      <c r="E46" s="1124"/>
      <c r="F46" s="1124"/>
      <c r="G46" s="1124"/>
      <c r="H46" s="1124"/>
      <c r="I46" s="1124"/>
      <c r="J46" s="1124"/>
      <c r="K46" s="1124"/>
      <c r="L46" s="1124"/>
      <c r="M46" s="1124"/>
      <c r="N46" s="1124"/>
      <c r="O46" s="1124"/>
      <c r="P46" s="1124"/>
      <c r="Q46" s="1124"/>
      <c r="R46" s="1124"/>
    </row>
    <row r="47" spans="1:31" ht="7.5" customHeight="1" x14ac:dyDescent="0.25">
      <c r="B47" s="1124"/>
      <c r="C47" s="1124"/>
      <c r="D47" s="1124"/>
      <c r="E47" s="1124"/>
      <c r="F47" s="1124"/>
      <c r="G47" s="1124"/>
      <c r="H47" s="1124"/>
      <c r="I47" s="1124"/>
      <c r="J47" s="1124"/>
      <c r="K47" s="1124"/>
      <c r="L47" s="1124"/>
      <c r="M47" s="1124"/>
      <c r="N47" s="1124"/>
      <c r="O47" s="1124"/>
      <c r="P47" s="1124"/>
      <c r="Q47" s="1124"/>
      <c r="R47" s="1124"/>
    </row>
    <row r="48" spans="1:31" ht="6.75" customHeight="1" x14ac:dyDescent="0.25">
      <c r="B48" s="794"/>
      <c r="C48" s="794"/>
      <c r="D48" s="794"/>
      <c r="E48" s="794"/>
      <c r="F48" s="794"/>
      <c r="G48" s="794"/>
      <c r="H48" s="794"/>
      <c r="I48" s="794"/>
      <c r="J48" s="794"/>
      <c r="K48" s="794"/>
      <c r="L48" s="794"/>
      <c r="M48" s="794"/>
      <c r="N48" s="794"/>
      <c r="O48" s="794"/>
      <c r="P48" s="794"/>
      <c r="Q48" s="794"/>
      <c r="R48" s="794"/>
    </row>
    <row r="49" spans="1:18" ht="15" customHeight="1" x14ac:dyDescent="0.25">
      <c r="A49" s="488" t="s">
        <v>421</v>
      </c>
      <c r="B49" s="1123" t="s">
        <v>422</v>
      </c>
      <c r="C49" s="1123"/>
      <c r="D49" s="1123"/>
      <c r="E49" s="1123"/>
      <c r="F49" s="1123"/>
      <c r="G49" s="1123"/>
      <c r="H49" s="1123"/>
      <c r="I49" s="1123"/>
      <c r="J49" s="1123"/>
      <c r="K49" s="1123"/>
      <c r="L49" s="1123"/>
      <c r="M49" s="1123"/>
      <c r="N49" s="1123"/>
      <c r="O49" s="1123"/>
      <c r="P49" s="1123"/>
      <c r="Q49" s="1123"/>
      <c r="R49" s="1123"/>
    </row>
    <row r="50" spans="1:18" ht="15" customHeight="1" x14ac:dyDescent="0.25">
      <c r="B50" s="1124" t="s">
        <v>550</v>
      </c>
      <c r="C50" s="1124"/>
      <c r="D50" s="1124"/>
      <c r="E50" s="1124"/>
      <c r="F50" s="1124"/>
      <c r="G50" s="1124"/>
      <c r="H50" s="1124"/>
      <c r="I50" s="1124"/>
      <c r="J50" s="1124"/>
      <c r="K50" s="1124"/>
      <c r="L50" s="1124"/>
      <c r="M50" s="1124"/>
      <c r="N50" s="1124"/>
      <c r="O50" s="1124"/>
      <c r="P50" s="1124"/>
      <c r="Q50" s="1124"/>
      <c r="R50" s="1124"/>
    </row>
    <row r="51" spans="1:18" ht="25.5" customHeight="1" x14ac:dyDescent="0.25">
      <c r="B51" s="1124"/>
      <c r="C51" s="1124"/>
      <c r="D51" s="1124"/>
      <c r="E51" s="1124"/>
      <c r="F51" s="1124"/>
      <c r="G51" s="1124"/>
      <c r="H51" s="1124"/>
      <c r="I51" s="1124"/>
      <c r="J51" s="1124"/>
      <c r="K51" s="1124"/>
      <c r="L51" s="1124"/>
      <c r="M51" s="1124"/>
      <c r="N51" s="1124"/>
      <c r="O51" s="1124"/>
      <c r="P51" s="1124"/>
      <c r="Q51" s="1124"/>
      <c r="R51" s="1124"/>
    </row>
    <row r="52" spans="1:18" ht="7.5" customHeight="1" x14ac:dyDescent="0.25">
      <c r="B52" s="794"/>
      <c r="C52" s="794"/>
      <c r="D52" s="794"/>
      <c r="E52" s="794"/>
      <c r="F52" s="794"/>
      <c r="G52" s="794"/>
      <c r="H52" s="794"/>
      <c r="I52" s="794"/>
      <c r="J52" s="794"/>
      <c r="K52" s="794"/>
      <c r="L52" s="794"/>
      <c r="M52" s="794"/>
      <c r="N52" s="794"/>
      <c r="O52" s="794"/>
      <c r="P52" s="794"/>
      <c r="Q52" s="794"/>
      <c r="R52" s="794"/>
    </row>
    <row r="53" spans="1:18" ht="15" customHeight="1" x14ac:dyDescent="0.25">
      <c r="A53" s="488" t="s">
        <v>424</v>
      </c>
      <c r="B53" s="1124" t="s">
        <v>602</v>
      </c>
      <c r="C53" s="1124"/>
      <c r="D53" s="1124"/>
      <c r="E53" s="1124"/>
      <c r="F53" s="1124"/>
      <c r="G53" s="1124"/>
      <c r="H53" s="1124"/>
      <c r="I53" s="1124"/>
      <c r="J53" s="1124"/>
      <c r="K53" s="1124"/>
      <c r="L53" s="1124"/>
      <c r="M53" s="1124"/>
      <c r="N53" s="1124"/>
      <c r="O53" s="1124"/>
      <c r="P53" s="1124"/>
      <c r="Q53" s="1124"/>
      <c r="R53" s="1124"/>
    </row>
    <row r="54" spans="1:18" ht="15" customHeight="1" x14ac:dyDescent="0.25">
      <c r="B54" s="1124"/>
      <c r="C54" s="1124"/>
      <c r="D54" s="1124"/>
      <c r="E54" s="1124"/>
      <c r="F54" s="1124"/>
      <c r="G54" s="1124"/>
      <c r="H54" s="1124"/>
      <c r="I54" s="1124"/>
      <c r="J54" s="1124"/>
      <c r="K54" s="1124"/>
      <c r="L54" s="1124"/>
      <c r="M54" s="1124"/>
      <c r="N54" s="1124"/>
      <c r="O54" s="1124"/>
      <c r="P54" s="1124"/>
      <c r="Q54" s="1124"/>
      <c r="R54" s="1124"/>
    </row>
    <row r="55" spans="1:18" ht="15" customHeight="1" x14ac:dyDescent="0.25">
      <c r="B55" s="1124"/>
      <c r="C55" s="1124"/>
      <c r="D55" s="1124"/>
      <c r="E55" s="1124"/>
      <c r="F55" s="1124"/>
      <c r="G55" s="1124"/>
      <c r="H55" s="1124"/>
      <c r="I55" s="1124"/>
      <c r="J55" s="1124"/>
      <c r="K55" s="1124"/>
      <c r="L55" s="1124"/>
      <c r="M55" s="1124"/>
      <c r="N55" s="1124"/>
      <c r="O55" s="1124"/>
      <c r="P55" s="1124"/>
      <c r="Q55" s="1124"/>
      <c r="R55" s="1124"/>
    </row>
    <row r="56" spans="1:18" ht="15" customHeight="1" x14ac:dyDescent="0.25">
      <c r="B56" s="1124"/>
      <c r="C56" s="1124"/>
      <c r="D56" s="1124"/>
      <c r="E56" s="1124"/>
      <c r="F56" s="1124"/>
      <c r="G56" s="1124"/>
      <c r="H56" s="1124"/>
      <c r="I56" s="1124"/>
      <c r="J56" s="1124"/>
      <c r="K56" s="1124"/>
      <c r="L56" s="1124"/>
      <c r="M56" s="1124"/>
      <c r="N56" s="1124"/>
      <c r="O56" s="1124"/>
      <c r="P56" s="1124"/>
      <c r="Q56" s="1124"/>
      <c r="R56" s="1124"/>
    </row>
    <row r="57" spans="1:18" ht="6" customHeight="1" x14ac:dyDescent="0.25">
      <c r="B57" s="1124"/>
      <c r="C57" s="1124"/>
      <c r="D57" s="1124"/>
      <c r="E57" s="1124"/>
      <c r="F57" s="1124"/>
      <c r="G57" s="1124"/>
      <c r="H57" s="1124"/>
      <c r="I57" s="1124"/>
      <c r="J57" s="1124"/>
      <c r="K57" s="1124"/>
      <c r="L57" s="1124"/>
      <c r="M57" s="1124"/>
      <c r="N57" s="1124"/>
      <c r="O57" s="1124"/>
      <c r="P57" s="1124"/>
      <c r="Q57" s="1124"/>
      <c r="R57" s="1124"/>
    </row>
    <row r="58" spans="1:18" ht="8.25" customHeight="1" x14ac:dyDescent="0.25">
      <c r="B58" s="794"/>
      <c r="C58" s="794"/>
      <c r="D58" s="794"/>
      <c r="E58" s="794"/>
      <c r="F58" s="794"/>
      <c r="G58" s="794"/>
      <c r="H58" s="794"/>
      <c r="I58" s="794"/>
      <c r="J58" s="794"/>
      <c r="K58" s="794"/>
      <c r="L58" s="794"/>
      <c r="M58" s="794"/>
      <c r="N58" s="794"/>
      <c r="O58" s="794"/>
      <c r="P58" s="794"/>
      <c r="Q58" s="794"/>
      <c r="R58" s="794"/>
    </row>
    <row r="59" spans="1:18" ht="15" customHeight="1" x14ac:dyDescent="0.25">
      <c r="A59" s="588" t="s">
        <v>353</v>
      </c>
      <c r="B59" s="1166" t="s">
        <v>551</v>
      </c>
      <c r="C59" s="1166"/>
      <c r="D59" s="1166"/>
      <c r="E59" s="1166"/>
      <c r="F59" s="1166"/>
      <c r="G59" s="1166"/>
      <c r="H59" s="1166"/>
      <c r="I59" s="1166"/>
      <c r="J59" s="1166"/>
      <c r="K59" s="1166"/>
      <c r="L59" s="1166"/>
      <c r="M59" s="1166"/>
      <c r="N59" s="1166"/>
      <c r="O59" s="1166"/>
      <c r="P59" s="1166"/>
      <c r="Q59" s="1166"/>
      <c r="R59" s="1166"/>
    </row>
    <row r="60" spans="1:18" ht="15" customHeight="1" x14ac:dyDescent="0.25">
      <c r="B60" s="1166"/>
      <c r="C60" s="1166"/>
      <c r="D60" s="1166"/>
      <c r="E60" s="1166"/>
      <c r="F60" s="1166"/>
      <c r="G60" s="1166"/>
      <c r="H60" s="1166"/>
      <c r="I60" s="1166"/>
      <c r="J60" s="1166"/>
      <c r="K60" s="1166"/>
      <c r="L60" s="1166"/>
      <c r="M60" s="1166"/>
      <c r="N60" s="1166"/>
      <c r="O60" s="1166"/>
      <c r="P60" s="1166"/>
      <c r="Q60" s="1166"/>
      <c r="R60" s="1166"/>
    </row>
    <row r="61" spans="1:18" ht="15" customHeight="1" x14ac:dyDescent="0.25">
      <c r="B61" s="1166"/>
      <c r="C61" s="1166"/>
      <c r="D61" s="1166"/>
      <c r="E61" s="1166"/>
      <c r="F61" s="1166"/>
      <c r="G61" s="1166"/>
      <c r="H61" s="1166"/>
      <c r="I61" s="1166"/>
      <c r="J61" s="1166"/>
      <c r="K61" s="1166"/>
      <c r="L61" s="1166"/>
      <c r="M61" s="1166"/>
      <c r="N61" s="1166"/>
      <c r="O61" s="1166"/>
      <c r="P61" s="1166"/>
      <c r="Q61" s="1166"/>
      <c r="R61" s="1166"/>
    </row>
    <row r="62" spans="1:18" ht="15" customHeight="1" x14ac:dyDescent="0.25">
      <c r="B62" s="1166"/>
      <c r="C62" s="1166"/>
      <c r="D62" s="1166"/>
      <c r="E62" s="1166"/>
      <c r="F62" s="1166"/>
      <c r="G62" s="1166"/>
      <c r="H62" s="1166"/>
      <c r="I62" s="1166"/>
      <c r="J62" s="1166"/>
      <c r="K62" s="1166"/>
      <c r="L62" s="1166"/>
      <c r="M62" s="1166"/>
      <c r="N62" s="1166"/>
      <c r="O62" s="1166"/>
      <c r="P62" s="1166"/>
      <c r="Q62" s="1166"/>
      <c r="R62" s="1166"/>
    </row>
    <row r="63" spans="1:18" ht="22.5" customHeight="1" x14ac:dyDescent="0.25">
      <c r="B63" s="1166"/>
      <c r="C63" s="1166"/>
      <c r="D63" s="1166"/>
      <c r="E63" s="1166"/>
      <c r="F63" s="1166"/>
      <c r="G63" s="1166"/>
      <c r="H63" s="1166"/>
      <c r="I63" s="1166"/>
      <c r="J63" s="1166"/>
      <c r="K63" s="1166"/>
      <c r="L63" s="1166"/>
      <c r="M63" s="1166"/>
      <c r="N63" s="1166"/>
      <c r="O63" s="1166"/>
      <c r="P63" s="1166"/>
      <c r="Q63" s="1166"/>
      <c r="R63" s="1166"/>
    </row>
    <row r="64" spans="1:18" ht="15" customHeight="1" x14ac:dyDescent="0.25">
      <c r="L64" s="130"/>
      <c r="M64" s="130"/>
    </row>
    <row r="65" spans="1:13" ht="15" customHeight="1" x14ac:dyDescent="0.25">
      <c r="L65" s="130"/>
      <c r="M65" s="130"/>
    </row>
    <row r="66" spans="1:13" ht="15" customHeight="1" x14ac:dyDescent="0.25">
      <c r="A66" s="591"/>
      <c r="B66"/>
      <c r="C66"/>
      <c r="D66"/>
      <c r="E66"/>
      <c r="F66"/>
      <c r="G66"/>
      <c r="H66"/>
      <c r="I66"/>
      <c r="J66"/>
      <c r="K66"/>
      <c r="L66"/>
      <c r="M66"/>
    </row>
    <row r="67" spans="1:13" ht="15" customHeight="1" x14ac:dyDescent="0.25">
      <c r="A67" s="591"/>
      <c r="B67"/>
      <c r="C67"/>
      <c r="D67"/>
      <c r="E67"/>
      <c r="F67"/>
      <c r="G67"/>
      <c r="H67"/>
      <c r="I67"/>
      <c r="J67"/>
      <c r="K67"/>
      <c r="L67"/>
      <c r="M67"/>
    </row>
    <row r="68" spans="1:13" ht="14.25" customHeight="1" x14ac:dyDescent="0.25">
      <c r="A68" s="591"/>
      <c r="B68"/>
      <c r="C68"/>
      <c r="D68"/>
      <c r="E68"/>
      <c r="F68"/>
      <c r="G68"/>
      <c r="H68"/>
      <c r="I68"/>
      <c r="J68"/>
      <c r="K68"/>
      <c r="L68"/>
      <c r="M68"/>
    </row>
    <row r="69" spans="1:13" ht="15" customHeight="1" x14ac:dyDescent="0.25">
      <c r="A69" s="591"/>
      <c r="B69"/>
      <c r="C69"/>
      <c r="D69"/>
      <c r="E69"/>
      <c r="F69"/>
      <c r="G69"/>
      <c r="H69"/>
      <c r="I69"/>
      <c r="J69"/>
      <c r="K69"/>
      <c r="L69"/>
      <c r="M69"/>
    </row>
    <row r="70" spans="1:13" ht="15" customHeight="1" x14ac:dyDescent="0.25">
      <c r="A70" s="591"/>
      <c r="B70"/>
      <c r="C70"/>
      <c r="D70"/>
      <c r="E70"/>
      <c r="F70"/>
      <c r="G70"/>
      <c r="H70"/>
      <c r="I70"/>
      <c r="J70"/>
      <c r="K70"/>
      <c r="L70"/>
      <c r="M70"/>
    </row>
    <row r="71" spans="1:13" ht="15" customHeight="1" x14ac:dyDescent="0.25">
      <c r="A71" s="591"/>
      <c r="B71"/>
      <c r="C71"/>
      <c r="D71"/>
      <c r="E71"/>
      <c r="F71"/>
      <c r="G71"/>
      <c r="H71"/>
      <c r="I71"/>
      <c r="J71"/>
      <c r="K71"/>
      <c r="L71"/>
      <c r="M71"/>
    </row>
    <row r="72" spans="1:13" ht="15" customHeight="1" x14ac:dyDescent="0.25">
      <c r="A72" s="591"/>
      <c r="B72"/>
      <c r="C72"/>
      <c r="D72"/>
      <c r="E72"/>
      <c r="F72"/>
      <c r="G72"/>
      <c r="H72"/>
      <c r="I72"/>
      <c r="J72"/>
      <c r="K72"/>
      <c r="L72"/>
      <c r="M72"/>
    </row>
    <row r="73" spans="1:13" ht="15" customHeight="1" x14ac:dyDescent="0.25">
      <c r="A73" s="591"/>
      <c r="B73"/>
      <c r="C73"/>
      <c r="D73"/>
      <c r="E73"/>
      <c r="F73"/>
      <c r="G73"/>
      <c r="H73"/>
      <c r="I73"/>
      <c r="J73"/>
      <c r="K73"/>
      <c r="L73"/>
      <c r="M73"/>
    </row>
    <row r="74" spans="1:13" ht="15" customHeight="1" x14ac:dyDescent="0.25">
      <c r="A74" s="591"/>
      <c r="B74"/>
      <c r="C74"/>
      <c r="D74"/>
      <c r="E74"/>
      <c r="F74"/>
      <c r="G74"/>
      <c r="H74"/>
      <c r="I74"/>
      <c r="J74"/>
      <c r="K74"/>
      <c r="L74"/>
      <c r="M74"/>
    </row>
    <row r="75" spans="1:13" ht="15" customHeight="1" x14ac:dyDescent="0.25">
      <c r="A75" s="591"/>
      <c r="B75"/>
      <c r="C75"/>
      <c r="D75"/>
      <c r="E75"/>
      <c r="F75"/>
      <c r="G75"/>
      <c r="H75"/>
      <c r="I75"/>
      <c r="J75"/>
      <c r="K75"/>
      <c r="L75"/>
      <c r="M75"/>
    </row>
    <row r="76" spans="1:13" ht="15" customHeight="1" x14ac:dyDescent="0.25">
      <c r="A76" s="591"/>
      <c r="B76"/>
      <c r="C76"/>
      <c r="D76"/>
      <c r="E76"/>
      <c r="F76"/>
      <c r="G76"/>
      <c r="H76"/>
      <c r="I76"/>
      <c r="J76"/>
      <c r="K76"/>
      <c r="L76"/>
      <c r="M76"/>
    </row>
    <row r="77" spans="1:13" ht="15" customHeight="1" x14ac:dyDescent="0.25">
      <c r="A77" s="591"/>
      <c r="B77"/>
      <c r="C77"/>
      <c r="D77"/>
      <c r="E77"/>
      <c r="F77"/>
      <c r="G77"/>
      <c r="H77"/>
      <c r="I77"/>
      <c r="J77"/>
      <c r="K77"/>
      <c r="L77"/>
      <c r="M77"/>
    </row>
    <row r="78" spans="1:13" ht="15" customHeight="1" x14ac:dyDescent="0.25">
      <c r="A78" s="591"/>
      <c r="B78"/>
      <c r="C78"/>
      <c r="D78"/>
      <c r="E78"/>
      <c r="F78"/>
      <c r="G78"/>
      <c r="H78"/>
      <c r="I78"/>
      <c r="J78"/>
      <c r="K78"/>
      <c r="L78"/>
      <c r="M78"/>
    </row>
    <row r="79" spans="1:13" ht="15" customHeight="1" x14ac:dyDescent="0.25">
      <c r="A79" s="591"/>
      <c r="B79"/>
      <c r="C79"/>
      <c r="D79"/>
      <c r="E79"/>
      <c r="F79"/>
      <c r="G79"/>
      <c r="H79"/>
      <c r="I79"/>
      <c r="J79"/>
      <c r="K79"/>
      <c r="L79"/>
      <c r="M79"/>
    </row>
    <row r="80" spans="1:13" ht="15" customHeight="1" x14ac:dyDescent="0.25">
      <c r="A80" s="591"/>
      <c r="B80"/>
      <c r="C80"/>
      <c r="D80"/>
      <c r="E80"/>
      <c r="F80"/>
      <c r="G80"/>
      <c r="H80"/>
      <c r="I80"/>
      <c r="J80"/>
      <c r="K80"/>
      <c r="L80"/>
      <c r="M80"/>
    </row>
    <row r="81" spans="1:13" ht="15" customHeight="1" x14ac:dyDescent="0.25">
      <c r="A81" s="591"/>
      <c r="B81"/>
      <c r="C81"/>
      <c r="D81"/>
      <c r="E81"/>
      <c r="F81"/>
      <c r="G81"/>
      <c r="H81"/>
      <c r="I81"/>
      <c r="J81"/>
      <c r="K81"/>
      <c r="L81"/>
      <c r="M81"/>
    </row>
    <row r="82" spans="1:13" ht="15" customHeight="1" x14ac:dyDescent="0.25">
      <c r="A82" s="591"/>
      <c r="B82"/>
      <c r="C82"/>
      <c r="D82"/>
      <c r="E82"/>
      <c r="F82"/>
      <c r="G82"/>
      <c r="H82"/>
      <c r="I82"/>
      <c r="J82"/>
      <c r="K82"/>
      <c r="L82"/>
      <c r="M82"/>
    </row>
    <row r="83" spans="1:13" ht="15" customHeight="1" x14ac:dyDescent="0.25">
      <c r="A83" s="591"/>
      <c r="B83"/>
      <c r="C83"/>
      <c r="D83"/>
      <c r="E83"/>
      <c r="F83"/>
      <c r="G83"/>
      <c r="H83"/>
      <c r="I83"/>
      <c r="J83"/>
      <c r="K83"/>
      <c r="L83"/>
      <c r="M83"/>
    </row>
    <row r="84" spans="1:13" ht="15" customHeight="1" x14ac:dyDescent="0.25">
      <c r="A84" s="591"/>
      <c r="B84"/>
      <c r="C84"/>
      <c r="D84"/>
      <c r="E84"/>
      <c r="F84"/>
      <c r="G84"/>
      <c r="H84"/>
      <c r="I84"/>
      <c r="J84"/>
      <c r="K84"/>
      <c r="L84"/>
      <c r="M84"/>
    </row>
    <row r="85" spans="1:13" ht="6.75" customHeight="1" x14ac:dyDescent="0.25">
      <c r="A85" s="591"/>
      <c r="B85"/>
      <c r="C85"/>
      <c r="D85"/>
      <c r="E85"/>
      <c r="F85"/>
      <c r="G85"/>
      <c r="H85"/>
      <c r="I85"/>
      <c r="J85"/>
      <c r="K85"/>
      <c r="L85"/>
      <c r="M85"/>
    </row>
    <row r="86" spans="1:13" ht="8.25" customHeight="1" x14ac:dyDescent="0.25">
      <c r="A86" s="591"/>
      <c r="B86"/>
      <c r="C86"/>
      <c r="D86"/>
      <c r="E86"/>
      <c r="F86"/>
      <c r="G86"/>
      <c r="H86"/>
      <c r="I86"/>
      <c r="J86"/>
      <c r="K86"/>
      <c r="L86"/>
      <c r="M86"/>
    </row>
    <row r="87" spans="1:13" x14ac:dyDescent="0.25">
      <c r="A87" s="591"/>
      <c r="B87"/>
      <c r="C87"/>
      <c r="D87"/>
      <c r="E87"/>
      <c r="F87"/>
      <c r="G87"/>
      <c r="H87"/>
      <c r="I87"/>
      <c r="J87"/>
      <c r="K87"/>
      <c r="L87"/>
      <c r="M87"/>
    </row>
    <row r="88" spans="1:13" ht="15" customHeight="1" x14ac:dyDescent="0.25">
      <c r="A88" s="591"/>
      <c r="B88"/>
      <c r="C88"/>
      <c r="D88"/>
      <c r="E88"/>
      <c r="F88"/>
      <c r="G88"/>
      <c r="H88"/>
      <c r="I88"/>
      <c r="J88"/>
      <c r="K88"/>
      <c r="L88"/>
      <c r="M88"/>
    </row>
    <row r="89" spans="1:13" ht="9" customHeight="1" x14ac:dyDescent="0.25">
      <c r="A89" s="591"/>
      <c r="B89"/>
      <c r="C89"/>
      <c r="D89"/>
      <c r="E89"/>
      <c r="F89"/>
      <c r="G89"/>
      <c r="H89"/>
      <c r="I89"/>
      <c r="J89"/>
      <c r="K89"/>
      <c r="L89"/>
      <c r="M89"/>
    </row>
    <row r="90" spans="1:13" x14ac:dyDescent="0.25">
      <c r="A90" s="591"/>
      <c r="B90"/>
      <c r="C90"/>
      <c r="D90"/>
      <c r="E90"/>
      <c r="F90"/>
      <c r="G90"/>
      <c r="H90"/>
      <c r="I90"/>
      <c r="J90"/>
      <c r="K90"/>
      <c r="L90"/>
      <c r="M90"/>
    </row>
    <row r="91" spans="1:13" x14ac:dyDescent="0.25">
      <c r="A91" s="591"/>
      <c r="B91"/>
      <c r="C91"/>
      <c r="D91"/>
      <c r="E91"/>
      <c r="F91"/>
      <c r="G91"/>
      <c r="H91"/>
      <c r="I91"/>
      <c r="J91"/>
      <c r="K91"/>
      <c r="L91"/>
      <c r="M91"/>
    </row>
    <row r="92" spans="1:13" x14ac:dyDescent="0.25">
      <c r="A92" s="591"/>
      <c r="B92"/>
      <c r="C92"/>
      <c r="D92"/>
      <c r="E92"/>
      <c r="F92"/>
      <c r="G92"/>
      <c r="H92"/>
      <c r="I92"/>
      <c r="J92"/>
      <c r="K92"/>
      <c r="L92"/>
      <c r="M92"/>
    </row>
    <row r="93" spans="1:13" ht="12.75" customHeight="1" x14ac:dyDescent="0.25">
      <c r="A93" s="591"/>
      <c r="B93"/>
      <c r="C93"/>
      <c r="D93"/>
      <c r="E93"/>
      <c r="F93"/>
      <c r="G93"/>
      <c r="H93"/>
      <c r="I93"/>
      <c r="J93"/>
      <c r="K93"/>
      <c r="L93"/>
      <c r="M93"/>
    </row>
    <row r="94" spans="1:13" ht="12.75" customHeight="1" x14ac:dyDescent="0.25">
      <c r="A94" s="591"/>
      <c r="B94"/>
      <c r="C94"/>
      <c r="D94"/>
      <c r="E94"/>
      <c r="F94"/>
      <c r="G94"/>
      <c r="H94"/>
      <c r="I94"/>
      <c r="J94"/>
      <c r="K94"/>
      <c r="L94"/>
      <c r="M94"/>
    </row>
    <row r="95" spans="1:13" ht="13.5" customHeight="1" x14ac:dyDescent="0.25"/>
    <row r="98" ht="12.75" customHeight="1" x14ac:dyDescent="0.25"/>
    <row r="100" ht="12" customHeight="1" x14ac:dyDescent="0.25"/>
    <row r="101" ht="12" customHeight="1" x14ac:dyDescent="0.25"/>
    <row r="103" ht="12.75" customHeight="1" x14ac:dyDescent="0.25"/>
    <row r="104" ht="13.5" customHeight="1" x14ac:dyDescent="0.25"/>
    <row r="116" spans="1:14" ht="27.9" customHeight="1" x14ac:dyDescent="0.25"/>
    <row r="117" spans="1:14" ht="15.75" customHeight="1" x14ac:dyDescent="0.25"/>
    <row r="118" spans="1:14" ht="27.9" customHeight="1" x14ac:dyDescent="0.25"/>
    <row r="119" spans="1:14" ht="15.75" customHeight="1" x14ac:dyDescent="0.25"/>
    <row r="123" spans="1:14" ht="15.75" customHeight="1" x14ac:dyDescent="0.25">
      <c r="A123" s="592"/>
      <c r="B123"/>
      <c r="C123"/>
      <c r="D123"/>
      <c r="E123"/>
      <c r="F123"/>
      <c r="G123"/>
      <c r="H123"/>
      <c r="I123"/>
      <c r="J123"/>
      <c r="K123"/>
      <c r="L123"/>
      <c r="M123"/>
    </row>
    <row r="124" spans="1:14" ht="15.75" customHeight="1" x14ac:dyDescent="0.25">
      <c r="A124" s="593"/>
      <c r="B124"/>
      <c r="C124"/>
      <c r="D124"/>
      <c r="E124"/>
      <c r="F124"/>
      <c r="G124"/>
      <c r="H124"/>
      <c r="I124"/>
      <c r="J124"/>
      <c r="K124"/>
      <c r="L124"/>
      <c r="M124"/>
    </row>
    <row r="125" spans="1:14" x14ac:dyDescent="0.25">
      <c r="L125" s="172"/>
      <c r="M125" s="172"/>
      <c r="N125" s="75"/>
    </row>
    <row r="126" spans="1:14" x14ac:dyDescent="0.25">
      <c r="L126" s="172"/>
      <c r="M126" s="172"/>
      <c r="N126" s="75"/>
    </row>
    <row r="127" spans="1:14" x14ac:dyDescent="0.25">
      <c r="L127" s="172"/>
      <c r="M127" s="172"/>
      <c r="N127" s="75"/>
    </row>
    <row r="128" spans="1:14" x14ac:dyDescent="0.25">
      <c r="L128" s="172"/>
      <c r="M128" s="172"/>
      <c r="N128" s="75"/>
    </row>
  </sheetData>
  <dataConsolidate/>
  <mergeCells count="42">
    <mergeCell ref="B53:R57"/>
    <mergeCell ref="B59:R63"/>
    <mergeCell ref="Q2:R2"/>
    <mergeCell ref="F40:F41"/>
    <mergeCell ref="E40:E41"/>
    <mergeCell ref="H38:I41"/>
    <mergeCell ref="E38:E39"/>
    <mergeCell ref="F38:F39"/>
    <mergeCell ref="C40:D41"/>
    <mergeCell ref="C38:D39"/>
    <mergeCell ref="C8:J13"/>
    <mergeCell ref="G14:I15"/>
    <mergeCell ref="G16:I16"/>
    <mergeCell ref="C28:D28"/>
    <mergeCell ref="C24:D25"/>
    <mergeCell ref="E24:E25"/>
    <mergeCell ref="C27:D27"/>
    <mergeCell ref="AD2:AD4"/>
    <mergeCell ref="F35:F36"/>
    <mergeCell ref="B2:K2"/>
    <mergeCell ref="B20:K20"/>
    <mergeCell ref="E15:E16"/>
    <mergeCell ref="C15:D16"/>
    <mergeCell ref="C35:D36"/>
    <mergeCell ref="C33:D34"/>
    <mergeCell ref="E33:E34"/>
    <mergeCell ref="E35:E36"/>
    <mergeCell ref="F33:F34"/>
    <mergeCell ref="N29:O31"/>
    <mergeCell ref="F24:K26"/>
    <mergeCell ref="C22:E22"/>
    <mergeCell ref="B49:R49"/>
    <mergeCell ref="B50:R51"/>
    <mergeCell ref="G30:H31"/>
    <mergeCell ref="I30:J31"/>
    <mergeCell ref="C29:D29"/>
    <mergeCell ref="G35:J36"/>
    <mergeCell ref="G29:J29"/>
    <mergeCell ref="C30:D31"/>
    <mergeCell ref="E30:E31"/>
    <mergeCell ref="F30:F31"/>
    <mergeCell ref="B44:R47"/>
  </mergeCells>
  <conditionalFormatting sqref="C6:D7">
    <cfRule type="expression" dxfId="16" priority="15" stopIfTrue="1">
      <formula>#REF!="NO"</formula>
    </cfRule>
  </conditionalFormatting>
  <conditionalFormatting sqref="D23">
    <cfRule type="expression" dxfId="15" priority="16" stopIfTrue="1">
      <formula>#REF!="NO"</formula>
    </cfRule>
  </conditionalFormatting>
  <conditionalFormatting sqref="H23 F24 C28 C30 B28:B29">
    <cfRule type="expression" dxfId="14" priority="13">
      <formula>$B$6="Campaign without ramp up"</formula>
    </cfRule>
    <cfRule type="expression" dxfId="13" priority="14">
      <formula>$B$6="No prophylaxis campaign"</formula>
    </cfRule>
  </conditionalFormatting>
  <conditionalFormatting sqref="G6:G7">
    <cfRule type="expression" dxfId="12" priority="2" stopIfTrue="1">
      <formula>#REF!="NO"</formula>
    </cfRule>
  </conditionalFormatting>
  <conditionalFormatting sqref="C8">
    <cfRule type="expression" dxfId="11" priority="1" stopIfTrue="1">
      <formula>#REF!="NO"</formula>
    </cfRule>
  </conditionalFormatting>
  <conditionalFormatting sqref="F23:I23">
    <cfRule type="expression" dxfId="10" priority="43">
      <formula>$E$23="No"</formula>
    </cfRule>
  </conditionalFormatting>
  <conditionalFormatting sqref="L125:M128">
    <cfRule type="expression" dxfId="9" priority="44">
      <formula>#REF!="Yes"</formula>
    </cfRule>
  </conditionalFormatting>
  <dataValidations count="8">
    <dataValidation type="custom" allowBlank="1" showErrorMessage="1" errorTitle="Invalid entry" error="Please enter a whole number between 0 and 100%" sqref="E30">
      <formula1>AND(E30&lt;1,E30&gt;-0.001)</formula1>
    </dataValidation>
    <dataValidation type="list" allowBlank="1" showInputMessage="1" showErrorMessage="1" sqref="E23">
      <formula1>$Z$4:$Z$5</formula1>
    </dataValidation>
    <dataValidation type="list" allowBlank="1" showInputMessage="1" showErrorMessage="1" sqref="I23">
      <formula1>$Z$8:$Z$14</formula1>
    </dataValidation>
    <dataValidation type="list" allowBlank="1" showInputMessage="1" showErrorMessage="1" sqref="E33:E34">
      <formula1>$Z$4:$Z$5</formula1>
    </dataValidation>
    <dataValidation type="list" allowBlank="1" showInputMessage="1" showErrorMessage="1" sqref="E35:E36">
      <formula1>IF($E$33="Yes",$AB$5:$AB$26,$AE$5:$AE$26)</formula1>
    </dataValidation>
    <dataValidation type="list" allowBlank="1" showInputMessage="1" showErrorMessage="1" sqref="E40:E41">
      <formula1>IF($E$38="Yes",$AD$5:$AD$12,$AB$27)</formula1>
    </dataValidation>
    <dataValidation type="list" allowBlank="1" showInputMessage="1" showErrorMessage="1" sqref="E38:E39">
      <formula1>IF($E$35="",$Z$4,$Z$4:$Z$5)</formula1>
    </dataValidation>
    <dataValidation type="list" allowBlank="1" showInputMessage="1" showErrorMessage="1" sqref="E24:E25">
      <formula1>$Z$8:$Z$27</formula1>
    </dataValidation>
  </dataValidations>
  <hyperlinks>
    <hyperlink ref="M2" location="'TABLE OF CONTENTS'!A1" display="Table of Contents"/>
    <hyperlink ref="N2" location="Timeline!A1" display="Timeline"/>
    <hyperlink ref="H38:H41" location="CASE_COUNTS!A1" display="View Case Counts"/>
    <hyperlink ref="H38:I41" location="'PEP Impact Model'!A1" display="View PEP Impact Model"/>
    <hyperlink ref="O2" location="CASE_COUNTS!A1" display="Step 1.1: Case Counts"/>
    <hyperlink ref="P2" location="INCUBATION!A1" display="Step 1.2: Incubation Period Settings"/>
    <hyperlink ref="Q2:R2" location="IMPACT_ON_HLTHCARE!A1" display="Step 3: Impact on Healthcare"/>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TABLE OF CONTENTS</vt:lpstr>
      <vt:lpstr>INTRODUCTION</vt:lpstr>
      <vt:lpstr>GETTING STARTED</vt:lpstr>
      <vt:lpstr>INTERPRETATION IN A REAL EVENT</vt:lpstr>
      <vt:lpstr>Timeline</vt:lpstr>
      <vt:lpstr>CASE_COUNTS</vt:lpstr>
      <vt:lpstr>INCUBATION</vt:lpstr>
      <vt:lpstr>Info Inputs ORIG</vt:lpstr>
      <vt:lpstr>PEP_Decisions</vt:lpstr>
      <vt:lpstr>IMPACT_ON_HLTHCARE</vt:lpstr>
      <vt:lpstr>Epi-Curve Model</vt:lpstr>
      <vt:lpstr>PEP Impact Model</vt:lpstr>
      <vt:lpstr>Healthcare_Model</vt:lpstr>
      <vt:lpstr>Sverdlovsk Case Series</vt:lpstr>
      <vt:lpstr>Timeline!Print_Area</vt:lpstr>
      <vt:lpstr>Timeline!Print_Titles</vt:lpstr>
    </vt:vector>
  </TitlesOfParts>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buu8</dc:creator>
  <cp:lastModifiedBy>CDC User</cp:lastModifiedBy>
  <cp:lastPrinted>2012-12-27T17:44:18Z</cp:lastPrinted>
  <dcterms:created xsi:type="dcterms:W3CDTF">2001-05-17T23:14:01Z</dcterms:created>
  <dcterms:modified xsi:type="dcterms:W3CDTF">2016-11-15T18:40:03Z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TC010162661033</vt:lpwstr>
  </property>
</Properties>
</file>