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904" yWindow="3276" windowWidth="19236" windowHeight="13176" activeTab="1"/>
  </bookViews>
  <sheets>
    <sheet name="Prävalenzschätzer" sheetId="1" r:id="rId1"/>
    <sheet name="TestStrategie" sheetId="2" r:id="rId2"/>
  </sheets>
  <calcPr calcId="145621"/>
</workbook>
</file>

<file path=xl/calcChain.xml><?xml version="1.0" encoding="utf-8"?>
<calcChain xmlns="http://schemas.openxmlformats.org/spreadsheetml/2006/main">
  <c r="B2" i="2" l="1"/>
  <c r="H13" i="1"/>
  <c r="H11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23" i="1"/>
  <c r="B13" i="1"/>
  <c r="B12" i="1"/>
  <c r="B11" i="1"/>
  <c r="L23" i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B9" i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B29" i="1" l="1"/>
  <c r="B28" i="1"/>
  <c r="B27" i="1"/>
  <c r="B26" i="1"/>
  <c r="B25" i="1"/>
  <c r="B24" i="1"/>
  <c r="B23" i="1"/>
  <c r="H2" i="1"/>
  <c r="A24" i="1"/>
  <c r="A25" i="1" s="1"/>
  <c r="A26" i="1" s="1"/>
  <c r="A27" i="1" s="1"/>
  <c r="A28" i="1" s="1"/>
  <c r="A29" i="1" s="1"/>
  <c r="H4" i="1" l="1"/>
  <c r="H5" i="1"/>
  <c r="H6" i="1"/>
  <c r="H3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A31" i="1"/>
  <c r="A32" i="1" s="1"/>
  <c r="I23" i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F23" i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C23" i="1"/>
  <c r="B7" i="1"/>
  <c r="B5" i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B3" i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C24" i="1" l="1"/>
  <c r="E24" i="1"/>
  <c r="H23" i="1"/>
  <c r="J30" i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23" i="1"/>
  <c r="J24" i="1" s="1"/>
  <c r="J25" i="1" s="1"/>
  <c r="J26" i="1" s="1"/>
  <c r="J27" i="1" s="1"/>
  <c r="J28" i="1" s="1"/>
  <c r="J29" i="1" s="1"/>
  <c r="E23" i="1"/>
  <c r="G35" i="1"/>
  <c r="A33" i="1"/>
  <c r="C25" i="1" l="1"/>
  <c r="H24" i="1"/>
  <c r="K23" i="1"/>
  <c r="K25" i="1"/>
  <c r="K24" i="1"/>
  <c r="G36" i="1"/>
  <c r="A34" i="1"/>
  <c r="C26" i="1" l="1"/>
  <c r="H25" i="1"/>
  <c r="E25" i="1"/>
  <c r="G37" i="1"/>
  <c r="A35" i="1"/>
  <c r="C27" i="1" l="1"/>
  <c r="E26" i="1"/>
  <c r="H26" i="1"/>
  <c r="K26" i="1"/>
  <c r="G38" i="1"/>
  <c r="A36" i="1"/>
  <c r="C28" i="1" l="1"/>
  <c r="H27" i="1"/>
  <c r="E27" i="1"/>
  <c r="K27" i="1"/>
  <c r="G39" i="1"/>
  <c r="A37" i="1"/>
  <c r="C29" i="1" l="1"/>
  <c r="E28" i="1"/>
  <c r="H28" i="1"/>
  <c r="K28" i="1"/>
  <c r="G40" i="1"/>
  <c r="A38" i="1"/>
  <c r="C30" i="1" l="1"/>
  <c r="H29" i="1"/>
  <c r="E29" i="1"/>
  <c r="K29" i="1"/>
  <c r="G41" i="1"/>
  <c r="A39" i="1"/>
  <c r="C31" i="1" l="1"/>
  <c r="E30" i="1"/>
  <c r="H30" i="1"/>
  <c r="K30" i="1"/>
  <c r="G42" i="1"/>
  <c r="A40" i="1"/>
  <c r="C32" i="1" l="1"/>
  <c r="H31" i="1"/>
  <c r="E31" i="1"/>
  <c r="K31" i="1"/>
  <c r="G43" i="1"/>
  <c r="A41" i="1"/>
  <c r="C33" i="1" l="1"/>
  <c r="H32" i="1"/>
  <c r="E32" i="1"/>
  <c r="K32" i="1"/>
  <c r="G44" i="1"/>
  <c r="A42" i="1"/>
  <c r="K33" i="1" l="1"/>
  <c r="H33" i="1"/>
  <c r="C34" i="1"/>
  <c r="E33" i="1"/>
  <c r="G45" i="1"/>
  <c r="A43" i="1"/>
  <c r="K34" i="1" l="1"/>
  <c r="E34" i="1"/>
  <c r="C35" i="1"/>
  <c r="H34" i="1"/>
  <c r="G46" i="1"/>
  <c r="A44" i="1"/>
  <c r="K35" i="1" l="1"/>
  <c r="H35" i="1"/>
  <c r="E35" i="1"/>
  <c r="C36" i="1"/>
  <c r="G47" i="1"/>
  <c r="A45" i="1"/>
  <c r="E36" i="1" l="1"/>
  <c r="K36" i="1"/>
  <c r="C37" i="1"/>
  <c r="H36" i="1"/>
  <c r="G48" i="1"/>
  <c r="A46" i="1"/>
  <c r="C38" i="1" l="1"/>
  <c r="H37" i="1"/>
  <c r="K37" i="1"/>
  <c r="E37" i="1"/>
  <c r="G49" i="1"/>
  <c r="A47" i="1"/>
  <c r="H38" i="1" l="1"/>
  <c r="K38" i="1"/>
  <c r="E38" i="1"/>
  <c r="C39" i="1"/>
  <c r="G50" i="1"/>
  <c r="A48" i="1"/>
  <c r="H39" i="1" l="1"/>
  <c r="E39" i="1"/>
  <c r="K39" i="1"/>
  <c r="C40" i="1"/>
  <c r="G51" i="1"/>
  <c r="A49" i="1"/>
  <c r="E40" i="1" l="1"/>
  <c r="H40" i="1"/>
  <c r="K40" i="1"/>
  <c r="C41" i="1"/>
  <c r="G52" i="1"/>
  <c r="A50" i="1"/>
  <c r="K41" i="1" l="1"/>
  <c r="E41" i="1"/>
  <c r="H41" i="1"/>
  <c r="C42" i="1"/>
  <c r="G53" i="1"/>
  <c r="A51" i="1"/>
  <c r="K42" i="1" l="1"/>
  <c r="E42" i="1"/>
  <c r="C43" i="1"/>
  <c r="H42" i="1"/>
  <c r="G54" i="1"/>
  <c r="A52" i="1"/>
  <c r="K43" i="1" l="1"/>
  <c r="C44" i="1"/>
  <c r="H43" i="1"/>
  <c r="E43" i="1"/>
  <c r="G55" i="1"/>
  <c r="A53" i="1"/>
  <c r="K44" i="1" l="1"/>
  <c r="C45" i="1"/>
  <c r="E44" i="1"/>
  <c r="H44" i="1"/>
  <c r="G56" i="1"/>
  <c r="A54" i="1"/>
  <c r="K45" i="1" l="1"/>
  <c r="E45" i="1"/>
  <c r="H45" i="1"/>
  <c r="C46" i="1"/>
  <c r="G57" i="1"/>
  <c r="A55" i="1"/>
  <c r="K46" i="1" l="1"/>
  <c r="E46" i="1"/>
  <c r="H46" i="1"/>
  <c r="C47" i="1"/>
  <c r="A56" i="1"/>
  <c r="K47" i="1" l="1"/>
  <c r="H47" i="1"/>
  <c r="E47" i="1"/>
  <c r="C48" i="1"/>
  <c r="A57" i="1"/>
  <c r="E48" i="1" l="1"/>
  <c r="K48" i="1"/>
  <c r="C49" i="1"/>
  <c r="H48" i="1"/>
  <c r="K49" i="1" l="1"/>
  <c r="E49" i="1"/>
  <c r="H49" i="1"/>
  <c r="C50" i="1"/>
  <c r="K50" i="1" l="1"/>
  <c r="E50" i="1"/>
  <c r="H50" i="1"/>
  <c r="C51" i="1"/>
  <c r="K51" i="1" l="1"/>
  <c r="C52" i="1"/>
  <c r="H51" i="1"/>
  <c r="E51" i="1"/>
  <c r="C53" i="1" l="1"/>
  <c r="E52" i="1"/>
  <c r="K52" i="1"/>
  <c r="H52" i="1"/>
  <c r="K53" i="1" l="1"/>
  <c r="E53" i="1"/>
  <c r="H53" i="1"/>
  <c r="C54" i="1"/>
  <c r="C55" i="1" l="1"/>
  <c r="K54" i="1"/>
  <c r="E54" i="1"/>
  <c r="H54" i="1"/>
  <c r="K55" i="1" l="1"/>
  <c r="H55" i="1"/>
  <c r="E55" i="1"/>
  <c r="C56" i="1"/>
  <c r="K56" i="1" l="1"/>
  <c r="H56" i="1"/>
  <c r="E56" i="1"/>
  <c r="C57" i="1"/>
  <c r="N58" i="1" l="1"/>
  <c r="E57" i="1"/>
  <c r="E58" i="1" s="1"/>
  <c r="K57" i="1"/>
  <c r="K58" i="1" s="1"/>
  <c r="H57" i="1"/>
  <c r="H58" i="1" s="1"/>
  <c r="F15" i="1" l="1"/>
  <c r="F17" i="1"/>
  <c r="B6" i="2" s="1"/>
  <c r="B12" i="2" s="1"/>
  <c r="F19" i="1"/>
  <c r="B7" i="2" s="1"/>
  <c r="F21" i="1"/>
  <c r="B8" i="2" s="1"/>
  <c r="B5" i="2"/>
  <c r="F11" i="1"/>
  <c r="F13" i="1" s="1"/>
  <c r="B1" i="2" s="1"/>
  <c r="C13" i="2" l="1"/>
  <c r="B13" i="2"/>
  <c r="B14" i="2" s="1"/>
  <c r="M21" i="2"/>
  <c r="M22" i="2"/>
  <c r="B17" i="2"/>
  <c r="B18" i="2" s="1"/>
  <c r="E17" i="2"/>
  <c r="E18" i="2" s="1"/>
  <c r="C12" i="2"/>
  <c r="L22" i="2"/>
  <c r="L21" i="2"/>
  <c r="K22" i="2"/>
  <c r="K21" i="2"/>
  <c r="E26" i="2" l="1"/>
  <c r="E27" i="2" s="1"/>
  <c r="C14" i="2"/>
  <c r="E29" i="2"/>
  <c r="E23" i="2"/>
  <c r="B20" i="2"/>
  <c r="B21" i="2" s="1"/>
  <c r="B29" i="2"/>
  <c r="B23" i="2"/>
  <c r="B26" i="2"/>
  <c r="B27" i="2" s="1"/>
  <c r="E31" i="2"/>
  <c r="E32" i="2" s="1"/>
  <c r="B31" i="2"/>
  <c r="B32" i="2" s="1"/>
  <c r="E20" i="2"/>
  <c r="E21" i="2" s="1"/>
  <c r="E28" i="2" l="1"/>
  <c r="B22" i="2"/>
  <c r="B28" i="2"/>
  <c r="E22" i="2"/>
</calcChain>
</file>

<file path=xl/sharedStrings.xml><?xml version="1.0" encoding="utf-8"?>
<sst xmlns="http://schemas.openxmlformats.org/spreadsheetml/2006/main" count="142" uniqueCount="100">
  <si>
    <t>days</t>
  </si>
  <si>
    <t>rate</t>
  </si>
  <si>
    <t>mean duration presymptomatic</t>
  </si>
  <si>
    <t>mean duration infectious, (symptomatic)</t>
  </si>
  <si>
    <t>Parameter</t>
  </si>
  <si>
    <t>value</t>
  </si>
  <si>
    <t>unit</t>
  </si>
  <si>
    <r>
      <t>days</t>
    </r>
    <r>
      <rPr>
        <vertAlign val="superscript"/>
        <sz val="11"/>
        <color theme="1"/>
        <rFont val="Calibri"/>
        <family val="2"/>
        <scheme val="minor"/>
      </rPr>
      <t>-1</t>
    </r>
  </si>
  <si>
    <t xml:space="preserve">Prob. Preincubation </t>
  </si>
  <si>
    <t>Prob. Presymptomatic</t>
  </si>
  <si>
    <t>Prob. Infectious (sympt)</t>
  </si>
  <si>
    <t>Time of infection (days ago)</t>
  </si>
  <si>
    <t>Incidence</t>
  </si>
  <si>
    <t>week -3</t>
  </si>
  <si>
    <t>week -2</t>
  </si>
  <si>
    <t>week -1</t>
  </si>
  <si>
    <t>this week</t>
  </si>
  <si>
    <t>1/100,000 individuals per week</t>
  </si>
  <si>
    <t>incidence (daily)</t>
  </si>
  <si>
    <t>detection prob</t>
  </si>
  <si>
    <t>Probability of detection and still being in presymptomatic phase</t>
  </si>
  <si>
    <t>Probability of detection and still being in symptomatic phase</t>
  </si>
  <si>
    <t>sum</t>
  </si>
  <si>
    <t>Probability of being in the predetection phase today</t>
  </si>
  <si>
    <t>percent of population</t>
  </si>
  <si>
    <t>Percent undetected</t>
  </si>
  <si>
    <t>worst case</t>
  </si>
  <si>
    <t>best case = all cases detected</t>
  </si>
  <si>
    <t>worst case incorporates % undetected (field B12)</t>
  </si>
  <si>
    <t>week -4</t>
  </si>
  <si>
    <r>
      <t xml:space="preserve">Prevalence (best case) of </t>
    </r>
    <r>
      <rPr>
        <b/>
        <u/>
        <sz val="11"/>
        <color theme="1"/>
        <rFont val="Calibri"/>
        <family val="2"/>
        <scheme val="minor"/>
      </rPr>
      <t>infectious</t>
    </r>
    <r>
      <rPr>
        <b/>
        <sz val="11"/>
        <color theme="1"/>
        <rFont val="Calibri"/>
        <family val="2"/>
        <scheme val="minor"/>
      </rPr>
      <t xml:space="preserve"> people</t>
    </r>
  </si>
  <si>
    <t>mean duration of pre-detectability phase</t>
  </si>
  <si>
    <t>Probability of detection and still being in predectability  phase</t>
  </si>
  <si>
    <t>P(inf)</t>
  </si>
  <si>
    <t>PCR sensitivität</t>
  </si>
  <si>
    <t>P(PCR+|inf)</t>
  </si>
  <si>
    <t>Spezifität</t>
  </si>
  <si>
    <t>P(PCR-|not inf)</t>
  </si>
  <si>
    <t>Anteil in prä-detektions Phase</t>
  </si>
  <si>
    <t>Anteil in prä-symptomatischer Phase</t>
  </si>
  <si>
    <t>Anteil in (symptomatischer), infektiöser  Phase</t>
  </si>
  <si>
    <t>Wahrscheinlichkeit eines Positiven Tests P(PCR+)</t>
  </si>
  <si>
    <t>Negative predictive value</t>
  </si>
  <si>
    <t>Restrisiko bei Freitestung</t>
  </si>
  <si>
    <t>Risikoreduktion (faktor) bei Einmaltestung</t>
  </si>
  <si>
    <t>Prävalenz -&gt; Restrisiko</t>
  </si>
  <si>
    <t>Risikoreduktion (faktor) bei Zweimaltestung (Zeitverzug 3 Tage)</t>
  </si>
  <si>
    <t>Tage</t>
  </si>
  <si>
    <t>in sympt.</t>
  </si>
  <si>
    <t>still in predetection</t>
  </si>
  <si>
    <t>in pre-sympt.</t>
  </si>
  <si>
    <r>
      <t>Prevalence (worst case)  of</t>
    </r>
    <r>
      <rPr>
        <b/>
        <u/>
        <sz val="11"/>
        <color theme="1"/>
        <rFont val="Calibri"/>
        <family val="2"/>
        <scheme val="minor"/>
      </rPr>
      <t xml:space="preserve"> infectious</t>
    </r>
    <r>
      <rPr>
        <b/>
        <sz val="11"/>
        <color theme="1"/>
        <rFont val="Calibri"/>
        <family val="2"/>
        <scheme val="minor"/>
      </rPr>
      <t xml:space="preserve"> people</t>
    </r>
  </si>
  <si>
    <t>Restrisiko</t>
  </si>
  <si>
    <t>Risikoreduktion (faktor)</t>
  </si>
  <si>
    <r>
      <t>P(inf</t>
    </r>
    <r>
      <rPr>
        <vertAlign val="subscript"/>
        <sz val="11"/>
        <color theme="1"/>
        <rFont val="Calibri"/>
        <family val="2"/>
        <scheme val="minor"/>
      </rPr>
      <t>Δt</t>
    </r>
    <r>
      <rPr>
        <sz val="11"/>
        <color theme="1"/>
        <rFont val="Calibri"/>
        <family val="2"/>
        <scheme val="minor"/>
      </rPr>
      <t>)</t>
    </r>
  </si>
  <si>
    <t>Probability of being in the presymptomatic phase today</t>
  </si>
  <si>
    <t>Probability of being in the (symptomatic) infectious phase today</t>
  </si>
  <si>
    <r>
      <t>Einmaltestung: Ein PCR Test bei Einreise</t>
    </r>
    <r>
      <rPr>
        <b/>
        <u/>
        <vertAlign val="superscript"/>
        <sz val="14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</si>
  <si>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Person ist entweder symptom-frei oder verheimlicht die Symptome</t>
    </r>
  </si>
  <si>
    <r>
      <t>X Tage Quarantäne &amp; symptom-frei</t>
    </r>
    <r>
      <rPr>
        <b/>
        <u/>
        <vertAlign val="superscript"/>
        <sz val="14"/>
        <color theme="1"/>
        <rFont val="Calibri"/>
        <family val="2"/>
        <scheme val="minor"/>
      </rPr>
      <t>2</t>
    </r>
  </si>
  <si>
    <r>
      <t>Einmaltestung: Ein PCR Test bei Einreise &amp; symptom-frei</t>
    </r>
    <r>
      <rPr>
        <b/>
        <u/>
        <vertAlign val="superscript"/>
        <sz val="14"/>
        <color theme="1"/>
        <rFont val="Calibri"/>
        <family val="2"/>
        <scheme val="minor"/>
      </rPr>
      <t>2</t>
    </r>
  </si>
  <si>
    <r>
      <t>Zweimaltestung: Ein PCR Test bei Einreise X Tage Quarantäne, dann zweiter Test (Freitestung)&amp; Symptom-frei</t>
    </r>
    <r>
      <rPr>
        <b/>
        <u/>
        <vertAlign val="superscript"/>
        <sz val="14"/>
        <color theme="1"/>
        <rFont val="Calibri"/>
        <family val="2"/>
        <scheme val="minor"/>
      </rPr>
      <t>2</t>
    </r>
  </si>
  <si>
    <t>Anteil der infizierten mit asymptomatischen Krankheitsverlauf</t>
  </si>
  <si>
    <t>Asymptomatische Infektionen</t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</si>
  <si>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Personen mit Symptomen gehen in Quarantäne nach den Regeln des RKI; Person ohne Symptome gehen X Tage in Quarantäne oder lassen sich freitesten;</t>
    </r>
    <r>
      <rPr>
        <b/>
        <sz val="11"/>
        <color theme="1"/>
        <rFont val="Calibri"/>
        <family val="2"/>
        <scheme val="minor"/>
      </rPr>
      <t xml:space="preserve"> Annahme: (i) as</t>
    </r>
    <r>
      <rPr>
        <sz val="11"/>
        <color theme="1"/>
        <rFont val="Calibri"/>
        <family val="2"/>
        <scheme val="minor"/>
      </rPr>
      <t>ymptomatischer Infektionsverlauf ist identisch wie symptomatischer</t>
    </r>
  </si>
  <si>
    <r>
      <t>P(inf</t>
    </r>
    <r>
      <rPr>
        <vertAlign val="subscript"/>
        <sz val="11"/>
        <color theme="1"/>
        <rFont val="Calibri"/>
        <family val="2"/>
        <scheme val="minor"/>
      </rPr>
      <t>Δt</t>
    </r>
    <r>
      <rPr>
        <sz val="11"/>
        <color theme="1"/>
        <rFont val="Calibri"/>
        <family val="2"/>
        <scheme val="minor"/>
      </rPr>
      <t>&amp; symptomfrei)</t>
    </r>
  </si>
  <si>
    <t>Zeitverzug für 2. Test</t>
  </si>
  <si>
    <t>Quarantäne</t>
  </si>
  <si>
    <r>
      <t>Y Tage Quarantäne (egal ob symptomatisch oder asymptomatisch)</t>
    </r>
    <r>
      <rPr>
        <b/>
        <u/>
        <vertAlign val="superscript"/>
        <sz val="14"/>
        <color theme="1"/>
        <rFont val="Calibri"/>
        <family val="2"/>
        <scheme val="minor"/>
      </rPr>
      <t>1</t>
    </r>
  </si>
  <si>
    <r>
      <t>Zweimaltestung: Ein PCR Test bei Einreise, X Tage Quarantäne</t>
    </r>
    <r>
      <rPr>
        <b/>
        <u/>
        <vertAlign val="superscript"/>
        <sz val="14"/>
        <color theme="1"/>
        <rFont val="Calibri"/>
        <family val="2"/>
        <scheme val="minor"/>
      </rPr>
      <t>1</t>
    </r>
    <r>
      <rPr>
        <b/>
        <u/>
        <sz val="14"/>
        <color theme="1"/>
        <rFont val="Calibri"/>
        <family val="2"/>
        <scheme val="minor"/>
      </rPr>
      <t>, dann zweiter Test (Freitestung)</t>
    </r>
    <r>
      <rPr>
        <b/>
        <u/>
        <vertAlign val="superscript"/>
        <sz val="14"/>
        <color theme="1"/>
        <rFont val="Calibri"/>
        <family val="2"/>
        <scheme val="minor"/>
      </rPr>
      <t>1</t>
    </r>
  </si>
  <si>
    <t>Wahrscheinlichkeit eines negativen Tests P(PCR-)</t>
  </si>
  <si>
    <t>Anzahl der Test um einen PCR-positiven zu finden</t>
  </si>
  <si>
    <r>
      <t>P(PCR-</t>
    </r>
    <r>
      <rPr>
        <sz val="11"/>
        <color theme="1"/>
        <rFont val="Calibri"/>
        <family val="2"/>
      </rPr>
      <t>&amp;</t>
    </r>
    <r>
      <rPr>
        <sz val="11"/>
        <color theme="1"/>
        <rFont val="Calibri"/>
        <family val="2"/>
        <scheme val="minor"/>
      </rPr>
      <t>inf)</t>
    </r>
  </si>
  <si>
    <t>P(PCR-&amp;symptomfrei&amp;inf)</t>
  </si>
  <si>
    <r>
      <t>P(PCR-,PCR-</t>
    </r>
    <r>
      <rPr>
        <vertAlign val="subscript"/>
        <sz val="11"/>
        <color theme="1"/>
        <rFont val="Calibri"/>
        <family val="2"/>
        <scheme val="minor"/>
      </rPr>
      <t>Δt</t>
    </r>
    <r>
      <rPr>
        <sz val="11"/>
        <color theme="1"/>
        <rFont val="Calibri"/>
        <family val="2"/>
        <scheme val="minor"/>
      </rPr>
      <t>&amp;symptomfrei&amp;inf)</t>
    </r>
  </si>
  <si>
    <r>
      <t>P(PCR-,PCR-</t>
    </r>
    <r>
      <rPr>
        <vertAlign val="subscript"/>
        <sz val="11"/>
        <color theme="1"/>
        <rFont val="Calibri"/>
        <family val="2"/>
      </rPr>
      <t>Δt</t>
    </r>
    <r>
      <rPr>
        <sz val="11"/>
        <color theme="1"/>
        <rFont val="Calibri"/>
        <family val="2"/>
      </rPr>
      <t>&amp;</t>
    </r>
    <r>
      <rPr>
        <sz val="11"/>
        <color theme="1"/>
        <rFont val="Calibri"/>
        <family val="2"/>
        <scheme val="minor"/>
      </rPr>
      <t>inf)</t>
    </r>
  </si>
  <si>
    <t>nicht detektierbar</t>
  </si>
  <si>
    <t>detektierbar</t>
  </si>
  <si>
    <t>Proportion of infectious in predetection phase</t>
  </si>
  <si>
    <t>Proportion of infectious in presymptomatic phase</t>
  </si>
  <si>
    <t>Proportion of infectious in (symptomatic) infectious phase</t>
  </si>
  <si>
    <t>Pre-Test probability of infectious</t>
  </si>
  <si>
    <t>Anteil infektiös an PCR-positiven</t>
  </si>
  <si>
    <t>Anzahl der Test um einen Infektiösen zu finden</t>
  </si>
  <si>
    <t>Prä-Test Risiko -&gt; Restrisiko</t>
  </si>
  <si>
    <r>
      <t>Einmaltestung mit Zeitverzug: X Tage Quarantäne, dann Test (Freitestung)</t>
    </r>
    <r>
      <rPr>
        <b/>
        <u/>
        <vertAlign val="superscript"/>
        <sz val="14"/>
        <color theme="1"/>
        <rFont val="Calibri"/>
        <family val="2"/>
        <scheme val="minor"/>
      </rPr>
      <t>2</t>
    </r>
  </si>
  <si>
    <r>
      <t>Einmaltestung mit Zeitverzug: X Tage Quarantäne, dann Test (Freitestung)</t>
    </r>
    <r>
      <rPr>
        <b/>
        <u/>
        <vertAlign val="superscript"/>
        <sz val="14"/>
        <color theme="1"/>
        <rFont val="Calibri"/>
        <family val="2"/>
        <scheme val="minor"/>
      </rPr>
      <t>1</t>
    </r>
  </si>
  <si>
    <t>Effekt Testung</t>
  </si>
  <si>
    <t>Effekt Quarantäne</t>
  </si>
  <si>
    <t>mean duration post-infectious; PCR+</t>
  </si>
  <si>
    <t>Prob. Post-Infectious</t>
  </si>
  <si>
    <t>Probability of detection and still being in post- infectious phase</t>
  </si>
  <si>
    <t>Probability of being in the post- infectious phase today</t>
  </si>
  <si>
    <t>Proportion in post-infectious phase</t>
  </si>
  <si>
    <t>Anteil in post-infektiöser  Phase</t>
  </si>
  <si>
    <t>detektierbar, nicht infektiös</t>
  </si>
  <si>
    <t xml:space="preserve">At detection: </t>
  </si>
  <si>
    <t>percent with virus (infectious + uninfectious)</t>
  </si>
  <si>
    <t>Pre-Test probability of people with virus (inf + non-inf)</t>
  </si>
  <si>
    <t>P(Virus)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</si>
</sst>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b/>
      <u/>
      <vertAlign val="superscript"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5" borderId="2" xfId="0" applyFill="1" applyBorder="1"/>
    <xf numFmtId="0" fontId="0" fillId="0" borderId="0" xfId="0" applyFill="1"/>
    <xf numFmtId="0" fontId="3" fillId="0" borderId="1" xfId="0" applyFont="1" applyFill="1" applyBorder="1"/>
    <xf numFmtId="164" fontId="3" fillId="0" borderId="3" xfId="0" applyNumberFormat="1" applyFont="1" applyFill="1" applyBorder="1"/>
    <xf numFmtId="0" fontId="0" fillId="0" borderId="0" xfId="0" applyFill="1" applyAlignment="1">
      <alignment wrapText="1"/>
    </xf>
    <xf numFmtId="10" fontId="0" fillId="0" borderId="0" xfId="0" applyNumberFormat="1" applyFill="1"/>
    <xf numFmtId="164" fontId="3" fillId="0" borderId="4" xfId="0" applyNumberFormat="1" applyFont="1" applyFill="1" applyBorder="1"/>
    <xf numFmtId="164" fontId="3" fillId="0" borderId="5" xfId="0" applyNumberFormat="1" applyFont="1" applyFill="1" applyBorder="1"/>
    <xf numFmtId="0" fontId="1" fillId="0" borderId="0" xfId="0" applyFont="1" applyFill="1"/>
    <xf numFmtId="10" fontId="4" fillId="0" borderId="1" xfId="0" applyNumberFormat="1" applyFont="1" applyFill="1" applyBorder="1"/>
    <xf numFmtId="10" fontId="3" fillId="0" borderId="1" xfId="0" applyNumberFormat="1" applyFont="1" applyFill="1" applyBorder="1"/>
    <xf numFmtId="10" fontId="3" fillId="0" borderId="0" xfId="0" applyNumberFormat="1" applyFont="1" applyFill="1" applyBorder="1"/>
    <xf numFmtId="11" fontId="0" fillId="0" borderId="0" xfId="0" applyNumberFormat="1" applyFill="1" applyAlignment="1">
      <alignment wrapText="1"/>
    </xf>
    <xf numFmtId="11" fontId="0" fillId="0" borderId="0" xfId="0" applyNumberFormat="1" applyFill="1"/>
    <xf numFmtId="11" fontId="0" fillId="0" borderId="2" xfId="0" applyNumberFormat="1" applyFill="1" applyBorder="1"/>
    <xf numFmtId="0" fontId="0" fillId="0" borderId="1" xfId="0" applyFill="1" applyBorder="1"/>
    <xf numFmtId="0" fontId="0" fillId="0" borderId="2" xfId="0" applyFill="1" applyBorder="1"/>
    <xf numFmtId="0" fontId="6" fillId="0" borderId="0" xfId="0" applyFont="1" applyFill="1"/>
    <xf numFmtId="0" fontId="7" fillId="0" borderId="0" xfId="0" applyFont="1" applyFill="1"/>
    <xf numFmtId="10" fontId="8" fillId="0" borderId="0" xfId="0" applyNumberFormat="1" applyFont="1" applyFill="1"/>
    <xf numFmtId="10" fontId="3" fillId="0" borderId="6" xfId="0" applyNumberFormat="1" applyFont="1" applyBorder="1"/>
    <xf numFmtId="10" fontId="0" fillId="0" borderId="0" xfId="0" applyNumberFormat="1"/>
    <xf numFmtId="10" fontId="1" fillId="0" borderId="0" xfId="0" applyNumberFormat="1" applyFont="1"/>
    <xf numFmtId="10" fontId="10" fillId="0" borderId="0" xfId="0" applyNumberFormat="1" applyFont="1" applyBorder="1"/>
    <xf numFmtId="10" fontId="11" fillId="0" borderId="0" xfId="0" applyNumberFormat="1" applyFont="1" applyBorder="1"/>
    <xf numFmtId="10" fontId="3" fillId="0" borderId="7" xfId="0" applyNumberFormat="1" applyFont="1" applyBorder="1"/>
    <xf numFmtId="0" fontId="1" fillId="0" borderId="0" xfId="0" applyFont="1" applyAlignment="1">
      <alignment wrapText="1"/>
    </xf>
    <xf numFmtId="10" fontId="4" fillId="0" borderId="1" xfId="0" applyNumberFormat="1" applyFont="1" applyBorder="1"/>
    <xf numFmtId="2" fontId="4" fillId="0" borderId="1" xfId="0" applyNumberFormat="1" applyFont="1" applyBorder="1"/>
    <xf numFmtId="0" fontId="9" fillId="0" borderId="0" xfId="0" applyFont="1" applyAlignment="1"/>
    <xf numFmtId="0" fontId="1" fillId="0" borderId="0" xfId="0" applyFont="1"/>
    <xf numFmtId="2" fontId="3" fillId="0" borderId="6" xfId="0" applyNumberFormat="1" applyFont="1" applyBorder="1"/>
    <xf numFmtId="2" fontId="3" fillId="0" borderId="8" xfId="0" applyNumberFormat="1" applyFont="1" applyBorder="1"/>
    <xf numFmtId="165" fontId="1" fillId="0" borderId="0" xfId="0" applyNumberFormat="1" applyFont="1"/>
    <xf numFmtId="164" fontId="1" fillId="0" borderId="0" xfId="0" applyNumberFormat="1" applyFont="1"/>
    <xf numFmtId="2" fontId="11" fillId="0" borderId="0" xfId="0" applyNumberFormat="1" applyFont="1" applyBorder="1"/>
    <xf numFmtId="2" fontId="0" fillId="0" borderId="0" xfId="0" applyNumberFormat="1"/>
    <xf numFmtId="0" fontId="0" fillId="0" borderId="0" xfId="0" applyBorder="1"/>
    <xf numFmtId="2" fontId="0" fillId="0" borderId="0" xfId="0" applyNumberFormat="1" applyFill="1" applyBorder="1"/>
    <xf numFmtId="2" fontId="0" fillId="0" borderId="0" xfId="0" applyNumberFormat="1" applyFill="1" applyAlignment="1">
      <alignment wrapText="1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topLeftCell="A6" workbookViewId="0">
      <selection activeCell="J12" sqref="J12"/>
    </sheetView>
  </sheetViews>
  <sheetFormatPr baseColWidth="10" defaultRowHeight="14.4" x14ac:dyDescent="0.3"/>
  <cols>
    <col min="1" max="1" width="23" customWidth="1"/>
    <col min="2" max="2" width="14.44140625" style="7" customWidth="1"/>
    <col min="3" max="3" width="14.6640625" style="7" customWidth="1"/>
    <col min="4" max="5" width="12" style="7" bestFit="1" customWidth="1"/>
    <col min="6" max="7" width="12" style="7" customWidth="1"/>
    <col min="8" max="8" width="12" style="7" bestFit="1" customWidth="1"/>
    <col min="9" max="9" width="11.44140625" style="7"/>
    <col min="10" max="10" width="19.109375" style="7" customWidth="1"/>
    <col min="11" max="11" width="12" style="7" bestFit="1" customWidth="1"/>
    <col min="12" max="35" width="11.44140625" style="7"/>
  </cols>
  <sheetData>
    <row r="1" spans="1:35" ht="16.05" thickBot="1" x14ac:dyDescent="0.25">
      <c r="A1" t="s">
        <v>4</v>
      </c>
      <c r="B1" s="7" t="s">
        <v>5</v>
      </c>
      <c r="C1" s="7" t="s">
        <v>6</v>
      </c>
      <c r="E1" s="7" t="s">
        <v>12</v>
      </c>
      <c r="F1" s="7" t="s">
        <v>5</v>
      </c>
      <c r="G1" s="7" t="s">
        <v>6</v>
      </c>
      <c r="H1" s="7" t="s">
        <v>24</v>
      </c>
      <c r="AH1"/>
      <c r="AI1"/>
    </row>
    <row r="2" spans="1:35" ht="49.05" thickBot="1" x14ac:dyDescent="0.25">
      <c r="A2" s="1" t="s">
        <v>31</v>
      </c>
      <c r="B2" s="8">
        <v>2.5</v>
      </c>
      <c r="C2" s="7" t="s">
        <v>0</v>
      </c>
      <c r="E2" s="7" t="s">
        <v>29</v>
      </c>
      <c r="F2" s="9">
        <v>50</v>
      </c>
      <c r="G2" s="10" t="s">
        <v>17</v>
      </c>
      <c r="H2" s="11">
        <f>F2/100000</f>
        <v>5.0000000000000001E-4</v>
      </c>
      <c r="AH2"/>
      <c r="AI2"/>
    </row>
    <row r="3" spans="1:35" ht="49.05" thickBot="1" x14ac:dyDescent="0.25">
      <c r="A3" s="1" t="s">
        <v>1</v>
      </c>
      <c r="B3" s="7">
        <f>1/B2</f>
        <v>0.4</v>
      </c>
      <c r="C3" s="7" t="s">
        <v>7</v>
      </c>
      <c r="E3" s="7" t="s">
        <v>13</v>
      </c>
      <c r="F3" s="12">
        <v>50</v>
      </c>
      <c r="G3" s="10" t="s">
        <v>17</v>
      </c>
      <c r="H3" s="11">
        <f>F3/100000</f>
        <v>5.0000000000000001E-4</v>
      </c>
      <c r="AH3"/>
      <c r="AI3"/>
    </row>
    <row r="4" spans="1:35" ht="49.05" thickBot="1" x14ac:dyDescent="0.25">
      <c r="A4" s="1" t="s">
        <v>2</v>
      </c>
      <c r="B4" s="8">
        <v>2.5</v>
      </c>
      <c r="C4" s="7" t="s">
        <v>0</v>
      </c>
      <c r="E4" s="7" t="s">
        <v>14</v>
      </c>
      <c r="F4" s="12">
        <v>50</v>
      </c>
      <c r="G4" s="10" t="s">
        <v>17</v>
      </c>
      <c r="H4" s="11">
        <f t="shared" ref="H4:H6" si="0">F4/100000</f>
        <v>5.0000000000000001E-4</v>
      </c>
      <c r="AH4"/>
      <c r="AI4"/>
    </row>
    <row r="5" spans="1:35" ht="49.05" thickBot="1" x14ac:dyDescent="0.25">
      <c r="A5" s="1"/>
      <c r="B5" s="7">
        <f>1/B4</f>
        <v>0.4</v>
      </c>
      <c r="C5" s="7" t="s">
        <v>7</v>
      </c>
      <c r="E5" s="7" t="s">
        <v>15</v>
      </c>
      <c r="F5" s="12">
        <v>50</v>
      </c>
      <c r="G5" s="10" t="s">
        <v>17</v>
      </c>
      <c r="H5" s="11">
        <f t="shared" si="0"/>
        <v>5.0000000000000001E-4</v>
      </c>
      <c r="AH5"/>
      <c r="AI5"/>
    </row>
    <row r="6" spans="1:35" ht="49.05" thickBot="1" x14ac:dyDescent="0.25">
      <c r="A6" s="1" t="s">
        <v>3</v>
      </c>
      <c r="B6" s="8">
        <v>7</v>
      </c>
      <c r="C6" s="7" t="s">
        <v>0</v>
      </c>
      <c r="E6" s="7" t="s">
        <v>16</v>
      </c>
      <c r="F6" s="13">
        <v>50</v>
      </c>
      <c r="G6" s="10" t="s">
        <v>17</v>
      </c>
      <c r="H6" s="11">
        <f t="shared" si="0"/>
        <v>5.0000000000000001E-4</v>
      </c>
      <c r="AH6"/>
      <c r="AI6"/>
    </row>
    <row r="7" spans="1:35" ht="16.8" thickBot="1" x14ac:dyDescent="0.35">
      <c r="B7" s="7">
        <f>1/B6</f>
        <v>0.14285714285714285</v>
      </c>
      <c r="C7" s="7" t="s">
        <v>7</v>
      </c>
      <c r="AH7"/>
      <c r="AI7"/>
    </row>
    <row r="8" spans="1:35" ht="29.4" thickBot="1" x14ac:dyDescent="0.35">
      <c r="A8" s="1" t="s">
        <v>89</v>
      </c>
      <c r="B8" s="8">
        <v>5</v>
      </c>
      <c r="C8" s="7" t="s">
        <v>0</v>
      </c>
      <c r="AH8"/>
      <c r="AI8"/>
    </row>
    <row r="9" spans="1:35" ht="16.2" x14ac:dyDescent="0.3">
      <c r="A9" s="43"/>
      <c r="B9" s="44">
        <f>1/B8</f>
        <v>0.2</v>
      </c>
      <c r="C9" s="7" t="s">
        <v>7</v>
      </c>
      <c r="AH9"/>
      <c r="AI9"/>
    </row>
    <row r="10" spans="1:35" ht="15" thickBot="1" x14ac:dyDescent="0.35">
      <c r="A10" s="36" t="s">
        <v>96</v>
      </c>
      <c r="F10" s="14" t="s">
        <v>30</v>
      </c>
      <c r="J10" s="7" t="s">
        <v>27</v>
      </c>
      <c r="AH10"/>
      <c r="AI10"/>
    </row>
    <row r="11" spans="1:35" ht="18.600000000000001" thickBot="1" x14ac:dyDescent="0.4">
      <c r="A11" t="s">
        <v>8</v>
      </c>
      <c r="B11" s="11">
        <f>B2/SUM(B2+B4+B6)</f>
        <v>0.20833333333333334</v>
      </c>
      <c r="F11" s="15">
        <f>E58+H58+K58</f>
        <v>5.5914586825650796E-4</v>
      </c>
      <c r="H11" s="11">
        <f>E58+H58+K58+N58</f>
        <v>6.9465417867455742E-4</v>
      </c>
      <c r="I11" s="7" t="s">
        <v>97</v>
      </c>
      <c r="AH11"/>
      <c r="AI11"/>
    </row>
    <row r="12" spans="1:35" ht="15" thickBot="1" x14ac:dyDescent="0.35">
      <c r="A12" t="s">
        <v>9</v>
      </c>
      <c r="B12" s="11">
        <f>B4/SUM(B2+B4+B6)</f>
        <v>0.20833333333333334</v>
      </c>
      <c r="F12" s="14" t="s">
        <v>51</v>
      </c>
      <c r="J12" s="7" t="s">
        <v>28</v>
      </c>
      <c r="AH12"/>
      <c r="AI12"/>
    </row>
    <row r="13" spans="1:35" ht="18.600000000000001" thickBot="1" x14ac:dyDescent="0.4">
      <c r="A13" t="s">
        <v>10</v>
      </c>
      <c r="B13" s="11">
        <f>B6/SUM(B2+B4+B6)</f>
        <v>0.58333333333333337</v>
      </c>
      <c r="F13" s="15">
        <f xml:space="preserve"> F11/(1-B15)</f>
        <v>1.1182917365130149E-2</v>
      </c>
      <c r="H13" s="11">
        <f xml:space="preserve"> H11/(1-B15)</f>
        <v>1.3893083573491135E-2</v>
      </c>
      <c r="I13" s="7" t="s">
        <v>97</v>
      </c>
      <c r="AH13"/>
      <c r="AI13"/>
    </row>
    <row r="14" spans="1:35" ht="15" thickBot="1" x14ac:dyDescent="0.35">
      <c r="A14" t="s">
        <v>90</v>
      </c>
      <c r="B14" s="11">
        <v>0</v>
      </c>
      <c r="F14" s="23" t="s">
        <v>78</v>
      </c>
      <c r="G14" s="24"/>
      <c r="H14" s="24"/>
      <c r="AH14"/>
      <c r="AI14"/>
    </row>
    <row r="15" spans="1:35" ht="15" thickBot="1" x14ac:dyDescent="0.35">
      <c r="A15" t="s">
        <v>25</v>
      </c>
      <c r="B15" s="16">
        <v>0.95</v>
      </c>
      <c r="C15" s="7" t="s">
        <v>26</v>
      </c>
      <c r="F15" s="25">
        <f>E58/(E58+H58+K58+N58)</f>
        <v>6.4978423810077901E-2</v>
      </c>
      <c r="G15" s="24"/>
      <c r="H15" s="24"/>
      <c r="J15" s="10"/>
      <c r="K15" s="10"/>
      <c r="L15" s="10"/>
      <c r="AH15"/>
      <c r="AI15"/>
    </row>
    <row r="16" spans="1:35" x14ac:dyDescent="0.3">
      <c r="B16" s="17"/>
      <c r="F16" s="23" t="s">
        <v>79</v>
      </c>
      <c r="G16" s="24"/>
      <c r="H16" s="24"/>
      <c r="J16" s="10"/>
      <c r="K16" s="10"/>
      <c r="L16" s="10"/>
      <c r="AH16"/>
      <c r="AI16"/>
    </row>
    <row r="17" spans="1:35" x14ac:dyDescent="0.3">
      <c r="B17" s="17"/>
      <c r="F17" s="25">
        <f>H58/(E58+H58+K58+N58)</f>
        <v>9.1055034763557322E-2</v>
      </c>
      <c r="G17" s="24"/>
      <c r="H17" s="24"/>
      <c r="J17" s="10"/>
      <c r="K17" s="10"/>
      <c r="L17" s="10"/>
      <c r="AH17"/>
      <c r="AI17"/>
    </row>
    <row r="18" spans="1:35" x14ac:dyDescent="0.3">
      <c r="B18" s="17"/>
      <c r="F18" s="23" t="s">
        <v>80</v>
      </c>
      <c r="G18" s="24"/>
      <c r="H18" s="24"/>
      <c r="J18" s="10"/>
      <c r="K18" s="10"/>
      <c r="L18" s="10"/>
      <c r="AH18"/>
      <c r="AI18"/>
    </row>
    <row r="19" spans="1:35" ht="17.55" customHeight="1" x14ac:dyDescent="0.3">
      <c r="B19" s="17"/>
      <c r="F19" s="25">
        <f>K58/(E58+H58+K58+N58)</f>
        <v>0.64889348985902584</v>
      </c>
      <c r="G19" s="24"/>
      <c r="H19" s="24"/>
      <c r="J19" s="10"/>
      <c r="K19" s="10"/>
      <c r="L19" s="10"/>
      <c r="AH19"/>
      <c r="AI19"/>
    </row>
    <row r="20" spans="1:35" ht="17.55" customHeight="1" x14ac:dyDescent="0.3">
      <c r="B20" s="17"/>
      <c r="F20" s="23" t="s">
        <v>93</v>
      </c>
      <c r="G20" s="24"/>
      <c r="H20" s="24"/>
      <c r="J20" s="10"/>
      <c r="K20" s="10"/>
      <c r="L20" s="10"/>
      <c r="AH20"/>
      <c r="AI20"/>
    </row>
    <row r="21" spans="1:35" ht="17.55" customHeight="1" x14ac:dyDescent="0.3">
      <c r="B21" s="17"/>
      <c r="F21" s="25">
        <f>N58/(E58+H58+K58+N58)</f>
        <v>0.19507305156733895</v>
      </c>
      <c r="G21" s="24"/>
      <c r="H21" s="24"/>
      <c r="J21" s="10"/>
      <c r="K21" s="10"/>
      <c r="L21" s="10"/>
      <c r="AH21"/>
      <c r="AI21"/>
    </row>
    <row r="22" spans="1:35" ht="86.4" x14ac:dyDescent="0.3">
      <c r="A22" s="1" t="s">
        <v>11</v>
      </c>
      <c r="B22" s="10" t="s">
        <v>18</v>
      </c>
      <c r="C22" s="10" t="s">
        <v>19</v>
      </c>
      <c r="D22" s="10" t="s">
        <v>1</v>
      </c>
      <c r="E22" s="10" t="s">
        <v>32</v>
      </c>
      <c r="F22" s="10" t="s">
        <v>19</v>
      </c>
      <c r="G22" s="10" t="s">
        <v>1</v>
      </c>
      <c r="H22" s="10" t="s">
        <v>20</v>
      </c>
      <c r="I22" s="10" t="s">
        <v>19</v>
      </c>
      <c r="J22" s="10" t="s">
        <v>1</v>
      </c>
      <c r="K22" s="10" t="s">
        <v>21</v>
      </c>
      <c r="L22" s="10" t="s">
        <v>19</v>
      </c>
      <c r="M22" s="10" t="s">
        <v>1</v>
      </c>
      <c r="N22" s="10" t="s">
        <v>91</v>
      </c>
    </row>
    <row r="23" spans="1:35" x14ac:dyDescent="0.3">
      <c r="A23" s="1">
        <v>34</v>
      </c>
      <c r="B23" s="18">
        <f>F2/100000/7</f>
        <v>7.1428571428571434E-5</v>
      </c>
      <c r="C23" s="18">
        <f>B11</f>
        <v>0.20833333333333334</v>
      </c>
      <c r="D23" s="18">
        <f>B3</f>
        <v>0.4</v>
      </c>
      <c r="E23" s="18">
        <f>C23*EXP(-A23*D23)*B23</f>
        <v>1.845974821364154E-11</v>
      </c>
      <c r="F23" s="18">
        <f>B12</f>
        <v>0.20833333333333334</v>
      </c>
      <c r="G23" s="18">
        <f>B5</f>
        <v>0.4</v>
      </c>
      <c r="H23" s="18">
        <f>(F23*EXP(-A23*G23)+C23*(1-EXP(-A23*D23))*EXP(-A23*G23))*B23</f>
        <v>3.6919473528056244E-11</v>
      </c>
      <c r="I23" s="18">
        <f>B13</f>
        <v>0.58333333333333337</v>
      </c>
      <c r="J23" s="18">
        <f>B7</f>
        <v>0.14285714285714285</v>
      </c>
      <c r="K23" s="19">
        <f>(I23*EXP(-A23*J23)+C23*(1-EXP(-A23*D23))*(1-EXP(-A23*G23))*EXP(-A23*J23)+F23*(1-EXP(-A23*G23))*EXP(-A23*J23))*B23</f>
        <v>5.5518955495640227E-7</v>
      </c>
      <c r="L23" s="45">
        <f>B14</f>
        <v>0</v>
      </c>
      <c r="M23" s="45">
        <f>B9</f>
        <v>0.2</v>
      </c>
      <c r="N23" s="10">
        <f>(C23*(1-EXP(-A23*D23))*(1-EXP(-A23*G23))*(1-EXP(-A23*J23))*EXP(-A23*M23)+F23*(1-EXP(-A23*G23))*(1-EXP(-A23*J23))*EXP(-A23*M23)+I23*(1-EXP(-A23*J23))*EXP(-A23*M23))*B23</f>
        <v>7.8936949694545855E-8</v>
      </c>
    </row>
    <row r="24" spans="1:35" x14ac:dyDescent="0.3">
      <c r="A24" s="1">
        <f>A23-1</f>
        <v>33</v>
      </c>
      <c r="B24" s="18">
        <f>F2/100000/7</f>
        <v>7.1428571428571434E-5</v>
      </c>
      <c r="C24" s="18">
        <f>C23</f>
        <v>0.20833333333333334</v>
      </c>
      <c r="D24" s="18">
        <f>D23</f>
        <v>0.4</v>
      </c>
      <c r="E24" s="18">
        <f>C24*EXP(-A24*D24)*B24</f>
        <v>2.7538708297349775E-11</v>
      </c>
      <c r="F24" s="18">
        <f>F23</f>
        <v>0.20833333333333334</v>
      </c>
      <c r="G24" s="18">
        <f>G23</f>
        <v>0.4</v>
      </c>
      <c r="H24" s="18">
        <f>(F24*EXP(-A24*G24)+C24*(1-EXP(-A24*D24))*EXP(-A24*G24))*B24</f>
        <v>5.5077365631532994E-11</v>
      </c>
      <c r="I24" s="18">
        <f>I23</f>
        <v>0.58333333333333337</v>
      </c>
      <c r="J24" s="18">
        <f>J23</f>
        <v>0.14285714285714285</v>
      </c>
      <c r="K24" s="19">
        <f>(I24*EXP(-A24*J24)+C24*(1-EXP(-A24*D24))*(1-EXP(-A24*G24))*EXP(-A24*J24)+F24*(1-EXP(-A24*G24))*EXP(-A24*J24))*B24</f>
        <v>6.4044699191617597E-7</v>
      </c>
      <c r="L24" s="45">
        <f>L23</f>
        <v>0</v>
      </c>
      <c r="M24" s="45">
        <f>M23</f>
        <v>0.2</v>
      </c>
      <c r="N24" s="10">
        <f t="shared" ref="N24:N57" si="1">(C24*(1-EXP(-A24*D24))*(1-EXP(-A24*G24))*(1-EXP(-A24*J24))*EXP(-A24*M24)+F24*(1-EXP(-A24*G24))*(1-EXP(-A24*J24))*EXP(-A24*M24)+I24*(1-EXP(-A24*J24))*EXP(-A24*M24))*B24</f>
        <v>9.6297789533322392E-8</v>
      </c>
    </row>
    <row r="25" spans="1:35" x14ac:dyDescent="0.3">
      <c r="A25" s="1">
        <f t="shared" ref="A25:A29" si="2">A24-1</f>
        <v>32</v>
      </c>
      <c r="B25" s="18">
        <f>F2/100000/7</f>
        <v>7.1428571428571434E-5</v>
      </c>
      <c r="C25" s="18">
        <f t="shared" ref="C25:C57" si="3">C24</f>
        <v>0.20833333333333334</v>
      </c>
      <c r="D25" s="18">
        <f t="shared" ref="D25:D57" si="4">D24</f>
        <v>0.4</v>
      </c>
      <c r="E25" s="18">
        <f>C25*EXP(-A25*D25)*B25</f>
        <v>4.1082925179124983E-11</v>
      </c>
      <c r="F25" s="18">
        <f t="shared" ref="F25:F57" si="5">F24</f>
        <v>0.20833333333333334</v>
      </c>
      <c r="G25" s="18">
        <f t="shared" ref="G25:G57" si="6">G24</f>
        <v>0.4</v>
      </c>
      <c r="H25" s="18">
        <f>(F25*EXP(-A25*G25)+C25*(1-EXP(-A25*D25))*EXP(-A25*G25))*B25</f>
        <v>8.2165736937636954E-11</v>
      </c>
      <c r="I25" s="18">
        <f t="shared" ref="I25:I57" si="7">I24</f>
        <v>0.58333333333333337</v>
      </c>
      <c r="J25" s="18">
        <f t="shared" ref="J25:J29" si="8">J24</f>
        <v>0.14285714285714285</v>
      </c>
      <c r="K25" s="19">
        <f>(I25*EXP(-A25*J25)+C25*(1-EXP(-A25*D25))*(1-EXP(-A25*G25))*EXP(-A25*J25)+F25*(1-EXP(-A25*G25))*EXP(-A25*J25))*B25</f>
        <v>7.3879681069047383E-7</v>
      </c>
      <c r="L25" s="45">
        <f t="shared" ref="L25:L57" si="9">L24</f>
        <v>0</v>
      </c>
      <c r="M25" s="45">
        <f t="shared" ref="M25:M57" si="10">M24</f>
        <v>0.2</v>
      </c>
      <c r="N25" s="10">
        <f t="shared" si="1"/>
        <v>1.1745490437065532E-7</v>
      </c>
    </row>
    <row r="26" spans="1:35" x14ac:dyDescent="0.3">
      <c r="A26" s="1">
        <f t="shared" si="2"/>
        <v>31</v>
      </c>
      <c r="B26" s="18">
        <f>F2/100000/7</f>
        <v>7.1428571428571434E-5</v>
      </c>
      <c r="C26" s="18">
        <f t="shared" si="3"/>
        <v>0.20833333333333334</v>
      </c>
      <c r="D26" s="18">
        <f t="shared" si="4"/>
        <v>0.4</v>
      </c>
      <c r="E26" s="18">
        <f>C26*EXP(-A26*D26)*B26</f>
        <v>6.1288522433567095E-11</v>
      </c>
      <c r="F26" s="18">
        <f t="shared" si="5"/>
        <v>0.20833333333333334</v>
      </c>
      <c r="G26" s="18">
        <f t="shared" si="6"/>
        <v>0.4</v>
      </c>
      <c r="H26" s="18">
        <f>(F26*EXP(-A26*G26)+C26*(1-EXP(-A26*D26))*EXP(-A26*G26))*B26</f>
        <v>1.225767924449178E-10</v>
      </c>
      <c r="I26" s="18">
        <f t="shared" si="7"/>
        <v>0.58333333333333337</v>
      </c>
      <c r="J26" s="18">
        <f t="shared" si="8"/>
        <v>0.14285714285714285</v>
      </c>
      <c r="K26" s="19">
        <f>(I26*EXP(-A26*J26)+C26*(1-EXP(-A26*D26))*(1-EXP(-A26*G26))*EXP(-A26*J26)+F26*(1-EXP(-A26*G26))*EXP(-A26*J26))*B26</f>
        <v>8.5224941590372017E-7</v>
      </c>
      <c r="L26" s="45">
        <f t="shared" si="9"/>
        <v>0</v>
      </c>
      <c r="M26" s="45">
        <f t="shared" si="10"/>
        <v>0.2</v>
      </c>
      <c r="N26" s="10">
        <f t="shared" si="1"/>
        <v>1.4322937694767794E-7</v>
      </c>
    </row>
    <row r="27" spans="1:35" x14ac:dyDescent="0.3">
      <c r="A27" s="1">
        <f t="shared" si="2"/>
        <v>30</v>
      </c>
      <c r="B27" s="18">
        <f>F2/100000/7</f>
        <v>7.1428571428571434E-5</v>
      </c>
      <c r="C27" s="18">
        <f t="shared" si="3"/>
        <v>0.20833333333333334</v>
      </c>
      <c r="D27" s="18">
        <f t="shared" si="4"/>
        <v>0.4</v>
      </c>
      <c r="E27" s="18">
        <f>C27*EXP(-A27*D27)*B27</f>
        <v>9.1431731448336466E-11</v>
      </c>
      <c r="F27" s="18">
        <f t="shared" si="5"/>
        <v>0.20833333333333334</v>
      </c>
      <c r="G27" s="18">
        <f t="shared" si="6"/>
        <v>0.4</v>
      </c>
      <c r="H27" s="18">
        <f>(F27*EXP(-A27*G27)+C27*(1-EXP(-A27*D27))*EXP(-A27*G27))*B27</f>
        <v>1.8286290112069908E-10</v>
      </c>
      <c r="I27" s="18">
        <f t="shared" si="7"/>
        <v>0.58333333333333337</v>
      </c>
      <c r="J27" s="18">
        <f t="shared" si="8"/>
        <v>0.14285714285714285</v>
      </c>
      <c r="K27" s="19">
        <f>(I27*EXP(-A27*J27)+C27*(1-EXP(-A27*D27))*(1-EXP(-A27*G27))*EXP(-A27*J27)+F27*(1-EXP(-A27*G27))*EXP(-A27*J27))*B27</f>
        <v>9.8312384845648984E-7</v>
      </c>
      <c r="L27" s="45">
        <f t="shared" si="9"/>
        <v>0</v>
      </c>
      <c r="M27" s="45">
        <f t="shared" si="10"/>
        <v>0.2</v>
      </c>
      <c r="N27" s="10">
        <f t="shared" si="1"/>
        <v>1.7461612661702826E-7</v>
      </c>
    </row>
    <row r="28" spans="1:35" x14ac:dyDescent="0.3">
      <c r="A28" s="1">
        <f t="shared" si="2"/>
        <v>29</v>
      </c>
      <c r="B28" s="18">
        <f>F2/100000/7</f>
        <v>7.1428571428571434E-5</v>
      </c>
      <c r="C28" s="18">
        <f t="shared" si="3"/>
        <v>0.20833333333333334</v>
      </c>
      <c r="D28" s="18">
        <f t="shared" si="4"/>
        <v>0.4</v>
      </c>
      <c r="E28" s="18">
        <f>C28*EXP(-A28*D28)*B28</f>
        <v>1.3640011512273218E-10</v>
      </c>
      <c r="F28" s="18">
        <f t="shared" si="5"/>
        <v>0.20833333333333334</v>
      </c>
      <c r="G28" s="18">
        <f t="shared" si="6"/>
        <v>0.4</v>
      </c>
      <c r="H28" s="18">
        <f>(F28*EXP(-A28*G28)+C28*(1-EXP(-A28*D28))*EXP(-A28*G28))*B28</f>
        <v>2.7279897999004192E-10</v>
      </c>
      <c r="I28" s="18">
        <f t="shared" si="7"/>
        <v>0.58333333333333337</v>
      </c>
      <c r="J28" s="18">
        <f t="shared" si="8"/>
        <v>0.14285714285714285</v>
      </c>
      <c r="K28" s="19">
        <f>(I28*EXP(-A28*J28)+C28*(1-EXP(-A28*D28))*(1-EXP(-A28*G28))*EXP(-A28*J28)+F28*(1-EXP(-A28*G28))*EXP(-A28*J28))*B28</f>
        <v>1.134095115290811E-6</v>
      </c>
      <c r="L28" s="45">
        <f t="shared" si="9"/>
        <v>0</v>
      </c>
      <c r="M28" s="45">
        <f t="shared" si="10"/>
        <v>0.2</v>
      </c>
      <c r="N28" s="10">
        <f t="shared" si="1"/>
        <v>2.1281913646331822E-7</v>
      </c>
    </row>
    <row r="29" spans="1:35" s="2" customFormat="1" x14ac:dyDescent="0.3">
      <c r="A29" s="1">
        <f t="shared" si="2"/>
        <v>28</v>
      </c>
      <c r="B29" s="18">
        <f>F2/100000/7</f>
        <v>7.1428571428571434E-5</v>
      </c>
      <c r="C29" s="18">
        <f t="shared" si="3"/>
        <v>0.20833333333333334</v>
      </c>
      <c r="D29" s="18">
        <f t="shared" si="4"/>
        <v>0.4</v>
      </c>
      <c r="E29" s="18">
        <f>C29*EXP(-A29*D29)*B29</f>
        <v>2.0348506050120448E-10</v>
      </c>
      <c r="F29" s="18">
        <f t="shared" si="5"/>
        <v>0.20833333333333334</v>
      </c>
      <c r="G29" s="18">
        <f t="shared" si="6"/>
        <v>0.4</v>
      </c>
      <c r="H29" s="18">
        <f>(F29*EXP(-A29*G29)+C29*(1-EXP(-A29*D29))*EXP(-A29*G29))*B29</f>
        <v>4.0696733850779521E-10</v>
      </c>
      <c r="I29" s="18">
        <f t="shared" si="7"/>
        <v>0.58333333333333337</v>
      </c>
      <c r="J29" s="18">
        <f t="shared" si="8"/>
        <v>0.14285714285714285</v>
      </c>
      <c r="K29" s="19">
        <f>(I29*EXP(-A29*J29)+C29*(1-EXP(-A29*D29))*(1-EXP(-A29*G29))*EXP(-A29*J29)+F29*(1-EXP(-A29*G29))*EXP(-A29*J29))*B29</f>
        <v>1.3082487397981711E-6</v>
      </c>
      <c r="L29" s="45">
        <f t="shared" si="9"/>
        <v>0</v>
      </c>
      <c r="M29" s="45">
        <f t="shared" si="10"/>
        <v>0.2</v>
      </c>
      <c r="N29" s="10">
        <f t="shared" si="1"/>
        <v>2.5929313968911238E-7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 s="2" customFormat="1" x14ac:dyDescent="0.3">
      <c r="A30" s="2">
        <v>27</v>
      </c>
      <c r="B30" s="19">
        <f>F3/100000/7</f>
        <v>7.1428571428571434E-5</v>
      </c>
      <c r="C30" s="18">
        <f t="shared" si="3"/>
        <v>0.20833333333333334</v>
      </c>
      <c r="D30" s="18">
        <f t="shared" si="4"/>
        <v>0.4</v>
      </c>
      <c r="E30" s="18">
        <f>C30*EXP(-A30*D30)*B30</f>
        <v>3.0356403885672502E-10</v>
      </c>
      <c r="F30" s="18">
        <f t="shared" si="5"/>
        <v>0.20833333333333334</v>
      </c>
      <c r="G30" s="18">
        <f t="shared" si="6"/>
        <v>0.4</v>
      </c>
      <c r="H30" s="18">
        <f>(F30*EXP(-A30*G30)+C30*(1-EXP(-A30*D30))*EXP(-A30*G30))*B30</f>
        <v>6.0712188515780392E-10</v>
      </c>
      <c r="I30" s="18">
        <f t="shared" si="7"/>
        <v>0.58333333333333337</v>
      </c>
      <c r="J30" s="19">
        <f>B7</f>
        <v>0.14285714285714285</v>
      </c>
      <c r="K30" s="19">
        <f>(I30*EXP(-A30*J30)+C30*(1-EXP(-A30*D30))*(1-EXP(-A30*G30))*EXP(-A30*J30)+F30*(1-EXP(-A30*G30))*EXP(-A30*J30))*B30</f>
        <v>1.5091436074288629E-6</v>
      </c>
      <c r="L30" s="45">
        <f t="shared" si="9"/>
        <v>0</v>
      </c>
      <c r="M30" s="45">
        <f t="shared" si="10"/>
        <v>0.2</v>
      </c>
      <c r="N30" s="10">
        <f t="shared" si="1"/>
        <v>3.1579264202866524E-7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s="2" customFormat="1" x14ac:dyDescent="0.3">
      <c r="A31" s="2">
        <f>A30-1</f>
        <v>26</v>
      </c>
      <c r="B31" s="19">
        <f>F3/100000/7</f>
        <v>7.1428571428571434E-5</v>
      </c>
      <c r="C31" s="18">
        <f t="shared" si="3"/>
        <v>0.20833333333333334</v>
      </c>
      <c r="D31" s="18">
        <f t="shared" si="4"/>
        <v>0.4</v>
      </c>
      <c r="E31" s="18">
        <f>C31*EXP(-A31*D31)*B31</f>
        <v>4.528643304821968E-10</v>
      </c>
      <c r="F31" s="18">
        <f t="shared" si="5"/>
        <v>0.20833333333333334</v>
      </c>
      <c r="G31" s="18">
        <f t="shared" si="6"/>
        <v>0.4</v>
      </c>
      <c r="H31" s="18">
        <f>(F31*EXP(-A31*G31)+C31*(1-EXP(-A31*D31))*EXP(-A31*G31))*B31</f>
        <v>9.0571487917835115E-10</v>
      </c>
      <c r="I31" s="18">
        <f t="shared" si="7"/>
        <v>0.58333333333333337</v>
      </c>
      <c r="J31" s="19">
        <f>J30</f>
        <v>0.14285714285714285</v>
      </c>
      <c r="K31" s="19">
        <f>(I31*EXP(-A31*J31)+C31*(1-EXP(-A31*D31))*(1-EXP(-A31*G31))*EXP(-A31*J31)+F31*(1-EXP(-A31*G31))*EXP(-A31*J31))*B31</f>
        <v>1.7408843213664486E-6</v>
      </c>
      <c r="L31" s="45">
        <f t="shared" si="9"/>
        <v>0</v>
      </c>
      <c r="M31" s="45">
        <f t="shared" si="10"/>
        <v>0.2</v>
      </c>
      <c r="N31" s="10">
        <f t="shared" si="1"/>
        <v>3.8442912057098538E-7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s="2" customFormat="1" x14ac:dyDescent="0.3">
      <c r="A32" s="2">
        <f t="shared" ref="A32:A57" si="11">A31-1</f>
        <v>25</v>
      </c>
      <c r="B32" s="19">
        <f>F3/100000/7</f>
        <v>7.1428571428571434E-5</v>
      </c>
      <c r="C32" s="18">
        <f t="shared" si="3"/>
        <v>0.20833333333333334</v>
      </c>
      <c r="D32" s="18">
        <f t="shared" si="4"/>
        <v>0.4</v>
      </c>
      <c r="E32" s="18">
        <f>C32*EXP(-A32*D32)*B32</f>
        <v>6.7559419289411998E-10</v>
      </c>
      <c r="F32" s="18">
        <f t="shared" si="5"/>
        <v>0.20833333333333334</v>
      </c>
      <c r="G32" s="18">
        <f t="shared" si="6"/>
        <v>0.4</v>
      </c>
      <c r="H32" s="18">
        <f>(F32*EXP(-A32*G32)+C32*(1-EXP(-A32*D32))*EXP(-A32*G32))*B32</f>
        <v>1.3511577138593347E-9</v>
      </c>
      <c r="I32" s="18">
        <f t="shared" si="7"/>
        <v>0.58333333333333337</v>
      </c>
      <c r="J32" s="19">
        <f t="shared" ref="J32:J57" si="12">J31</f>
        <v>0.14285714285714285</v>
      </c>
      <c r="K32" s="19">
        <f>(I32*EXP(-A32*J32)+C32*(1-EXP(-A32*D32))*(1-EXP(-A32*G32))*EXP(-A32*J32)+F32*(1-EXP(-A32*G32))*EXP(-A32*J32))*B32</f>
        <v>2.0082044271738545E-6</v>
      </c>
      <c r="L32" s="45">
        <f t="shared" si="9"/>
        <v>0</v>
      </c>
      <c r="M32" s="45">
        <f t="shared" si="10"/>
        <v>0.2</v>
      </c>
      <c r="N32" s="10">
        <f t="shared" si="1"/>
        <v>4.677370973655506E-7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s="2" customFormat="1" x14ac:dyDescent="0.3">
      <c r="A33" s="2">
        <f t="shared" si="11"/>
        <v>24</v>
      </c>
      <c r="B33" s="19">
        <f>F3/100000/7</f>
        <v>7.1428571428571434E-5</v>
      </c>
      <c r="C33" s="18">
        <f t="shared" si="3"/>
        <v>0.20833333333333334</v>
      </c>
      <c r="D33" s="18">
        <f t="shared" si="4"/>
        <v>0.4</v>
      </c>
      <c r="E33" s="18">
        <f>C33*EXP(-A33*D33)*B33</f>
        <v>1.007868102542467E-9</v>
      </c>
      <c r="F33" s="18">
        <f t="shared" si="5"/>
        <v>0.20833333333333334</v>
      </c>
      <c r="G33" s="18">
        <f t="shared" si="6"/>
        <v>0.4</v>
      </c>
      <c r="H33" s="18">
        <f>(F33*EXP(-A33*G33)+C33*(1-EXP(-A33*D33))*EXP(-A33*G33))*B33</f>
        <v>2.0156679434517993E-9</v>
      </c>
      <c r="I33" s="18">
        <f t="shared" si="7"/>
        <v>0.58333333333333337</v>
      </c>
      <c r="J33" s="19">
        <f t="shared" si="12"/>
        <v>0.14285714285714285</v>
      </c>
      <c r="K33" s="19">
        <f>(I33*EXP(-A33*J33)+C33*(1-EXP(-A33*D33))*(1-EXP(-A33*G33))*EXP(-A33*J33)+F33*(1-EXP(-A33*G33))*EXP(-A33*J33))*B33</f>
        <v>2.3165620008410323E-6</v>
      </c>
      <c r="L33" s="45">
        <f t="shared" si="9"/>
        <v>0</v>
      </c>
      <c r="M33" s="45">
        <f t="shared" si="10"/>
        <v>0.2</v>
      </c>
      <c r="N33" s="10">
        <f t="shared" si="1"/>
        <v>5.6874947270285624E-7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s="2" customFormat="1" x14ac:dyDescent="0.3">
      <c r="A34" s="2">
        <f t="shared" si="11"/>
        <v>23</v>
      </c>
      <c r="B34" s="19">
        <f>F3/100000/7</f>
        <v>7.1428571428571434E-5</v>
      </c>
      <c r="C34" s="18">
        <f t="shared" si="3"/>
        <v>0.20833333333333334</v>
      </c>
      <c r="D34" s="18">
        <f t="shared" si="4"/>
        <v>0.4</v>
      </c>
      <c r="E34" s="18">
        <f>C34*EXP(-A34*D34)*B34</f>
        <v>1.5035625273376973E-9</v>
      </c>
      <c r="F34" s="18">
        <f t="shared" si="5"/>
        <v>0.20833333333333334</v>
      </c>
      <c r="G34" s="18">
        <f t="shared" si="6"/>
        <v>0.4</v>
      </c>
      <c r="H34" s="18">
        <f>(F34*EXP(-A34*G34)+C34*(1-EXP(-A34*D34))*EXP(-A34*G34))*B34</f>
        <v>3.0069731356170077E-9</v>
      </c>
      <c r="I34" s="18">
        <f t="shared" si="7"/>
        <v>0.58333333333333337</v>
      </c>
      <c r="J34" s="19">
        <f t="shared" si="12"/>
        <v>0.14285714285714285</v>
      </c>
      <c r="K34" s="19">
        <f>(I34*EXP(-A34*J34)+C34*(1-EXP(-A34*D34))*(1-EXP(-A34*G34))*EXP(-A34*J34)+F34*(1-EXP(-A34*G34))*EXP(-A34*J34))*B34</f>
        <v>2.6722491982917338E-6</v>
      </c>
      <c r="L34" s="45">
        <f t="shared" si="9"/>
        <v>0</v>
      </c>
      <c r="M34" s="45">
        <f t="shared" si="10"/>
        <v>0.2</v>
      </c>
      <c r="N34" s="10">
        <f t="shared" si="1"/>
        <v>6.9108191830026533E-7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s="2" customFormat="1" x14ac:dyDescent="0.3">
      <c r="A35" s="2">
        <f t="shared" si="11"/>
        <v>22</v>
      </c>
      <c r="B35" s="19">
        <f>F3/100000/7</f>
        <v>7.1428571428571434E-5</v>
      </c>
      <c r="C35" s="18">
        <f t="shared" si="3"/>
        <v>0.20833333333333334</v>
      </c>
      <c r="D35" s="18">
        <f t="shared" si="4"/>
        <v>0.4</v>
      </c>
      <c r="E35" s="18">
        <f>C35*EXP(-A35*D35)*B35</f>
        <v>2.2430517127303056E-9</v>
      </c>
      <c r="F35" s="18">
        <f t="shared" si="5"/>
        <v>0.20833333333333334</v>
      </c>
      <c r="G35" s="18">
        <f t="shared" si="6"/>
        <v>0.4</v>
      </c>
      <c r="H35" s="18">
        <f>(F35*EXP(-A35*G35)+C35*(1-EXP(-A35*D35))*EXP(-A35*G35))*B35</f>
        <v>4.4857653233783526E-9</v>
      </c>
      <c r="I35" s="18">
        <f t="shared" si="7"/>
        <v>0.58333333333333337</v>
      </c>
      <c r="J35" s="19">
        <f t="shared" si="12"/>
        <v>0.14285714285714285</v>
      </c>
      <c r="K35" s="19">
        <f>(I35*EXP(-A35*J35)+C35*(1-EXP(-A35*D35))*(1-EXP(-A35*G35))*EXP(-A35*J35)+F35*(1-EXP(-A35*G35))*EXP(-A35*J35))*B35</f>
        <v>3.0825173932940471E-6</v>
      </c>
      <c r="L35" s="45">
        <f t="shared" si="9"/>
        <v>0</v>
      </c>
      <c r="M35" s="45">
        <f t="shared" si="10"/>
        <v>0.2</v>
      </c>
      <c r="N35" s="10">
        <f t="shared" si="1"/>
        <v>8.3902512445068464E-7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s="3" customFormat="1" x14ac:dyDescent="0.3">
      <c r="A36" s="2">
        <f t="shared" si="11"/>
        <v>21</v>
      </c>
      <c r="B36" s="19">
        <f>F3/100000/7</f>
        <v>7.1428571428571434E-5</v>
      </c>
      <c r="C36" s="18">
        <f t="shared" si="3"/>
        <v>0.20833333333333334</v>
      </c>
      <c r="D36" s="18">
        <f t="shared" si="4"/>
        <v>0.4</v>
      </c>
      <c r="E36" s="18">
        <f>C36*EXP(-A36*D36)*B36</f>
        <v>3.3462399431376222E-9</v>
      </c>
      <c r="F36" s="18">
        <f t="shared" si="5"/>
        <v>0.20833333333333334</v>
      </c>
      <c r="G36" s="18">
        <f t="shared" si="6"/>
        <v>0.4</v>
      </c>
      <c r="H36" s="18">
        <f>(F36*EXP(-A36*G36)+C36*(1-EXP(-A36*D36))*EXP(-A36*G36))*B36</f>
        <v>6.6917274262531704E-9</v>
      </c>
      <c r="I36" s="18">
        <f t="shared" si="7"/>
        <v>0.58333333333333337</v>
      </c>
      <c r="J36" s="19">
        <f t="shared" si="12"/>
        <v>0.14285714285714285</v>
      </c>
      <c r="K36" s="19">
        <f>(I36*EXP(-A36*J36)+C36*(1-EXP(-A36*D36))*(1-EXP(-A36*G36))*EXP(-A36*J36)+F36*(1-EXP(-A36*G36))*EXP(-A36*J36))*B36</f>
        <v>3.5557194081654448E-6</v>
      </c>
      <c r="L36" s="45">
        <f t="shared" si="9"/>
        <v>0</v>
      </c>
      <c r="M36" s="45">
        <f t="shared" si="10"/>
        <v>0.2</v>
      </c>
      <c r="N36" s="10">
        <f t="shared" si="1"/>
        <v>1.0176420413861042E-6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s="3" customFormat="1" x14ac:dyDescent="0.3">
      <c r="A37" s="3">
        <f t="shared" si="11"/>
        <v>20</v>
      </c>
      <c r="B37" s="19">
        <f>F4/100000/7</f>
        <v>7.1428571428571434E-5</v>
      </c>
      <c r="C37" s="18">
        <f t="shared" si="3"/>
        <v>0.20833333333333334</v>
      </c>
      <c r="D37" s="18">
        <f t="shared" si="4"/>
        <v>0.4</v>
      </c>
      <c r="E37" s="18">
        <f>C37*EXP(-A37*D37)*B37</f>
        <v>4.9920033914064268E-9</v>
      </c>
      <c r="F37" s="18">
        <f t="shared" si="5"/>
        <v>0.20833333333333334</v>
      </c>
      <c r="G37" s="18">
        <f t="shared" si="6"/>
        <v>0.4</v>
      </c>
      <c r="H37" s="18">
        <f>(F37*EXP(-A37*G37)+C37*(1-EXP(-A37*D37))*EXP(-A37*G37))*B37</f>
        <v>9.9823321522366753E-9</v>
      </c>
      <c r="I37" s="18">
        <f t="shared" si="7"/>
        <v>0.58333333333333337</v>
      </c>
      <c r="J37" s="19">
        <f t="shared" si="12"/>
        <v>0.14285714285714285</v>
      </c>
      <c r="K37" s="19">
        <f>(I37*EXP(-A37*J37)+C37*(1-EXP(-A37*D37))*(1-EXP(-A37*G37))*EXP(-A37*J37)+F37*(1-EXP(-A37*G37))*EXP(-A37*J37))*B37</f>
        <v>4.1014699323748919E-6</v>
      </c>
      <c r="L37" s="45">
        <f t="shared" si="9"/>
        <v>0</v>
      </c>
      <c r="M37" s="45">
        <f t="shared" si="10"/>
        <v>0.2</v>
      </c>
      <c r="N37" s="10">
        <f t="shared" si="1"/>
        <v>1.2328646139070742E-6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s="3" customFormat="1" x14ac:dyDescent="0.3">
      <c r="A38" s="3">
        <f t="shared" si="11"/>
        <v>19</v>
      </c>
      <c r="B38" s="19">
        <f>F4/100000/7</f>
        <v>7.1428571428571434E-5</v>
      </c>
      <c r="C38" s="18">
        <f t="shared" si="3"/>
        <v>0.20833333333333334</v>
      </c>
      <c r="D38" s="18">
        <f t="shared" si="4"/>
        <v>0.4</v>
      </c>
      <c r="E38" s="18">
        <f>C38*EXP(-A38*D38)*B38</f>
        <v>7.4471939500090843E-9</v>
      </c>
      <c r="F38" s="18">
        <f t="shared" si="5"/>
        <v>0.20833333333333334</v>
      </c>
      <c r="G38" s="18">
        <f t="shared" si="6"/>
        <v>0.4</v>
      </c>
      <c r="H38" s="18">
        <f>(F38*EXP(-A38*G38)+C38*(1-EXP(-A38*D38))*EXP(-A38*G38))*B38</f>
        <v>1.4890660941130777E-8</v>
      </c>
      <c r="I38" s="18">
        <f t="shared" si="7"/>
        <v>0.58333333333333337</v>
      </c>
      <c r="J38" s="19">
        <f t="shared" si="12"/>
        <v>0.14285714285714285</v>
      </c>
      <c r="K38" s="19">
        <f>(I38*EXP(-A38*J38)+C38*(1-EXP(-A38*D38))*(1-EXP(-A38*G38))*EXP(-A38*J38)+F38*(1-EXP(-A38*G38))*EXP(-A38*J38))*B38</f>
        <v>4.7308242918103969E-6</v>
      </c>
      <c r="L38" s="45">
        <f t="shared" si="9"/>
        <v>0</v>
      </c>
      <c r="M38" s="45">
        <f t="shared" si="10"/>
        <v>0.2</v>
      </c>
      <c r="N38" s="10">
        <f t="shared" si="1"/>
        <v>1.4915803694611773E-6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s="3" customFormat="1" x14ac:dyDescent="0.3">
      <c r="A39" s="3">
        <f t="shared" si="11"/>
        <v>18</v>
      </c>
      <c r="B39" s="19">
        <f>F4/100000/7</f>
        <v>7.1428571428571434E-5</v>
      </c>
      <c r="C39" s="18">
        <f t="shared" si="3"/>
        <v>0.20833333333333334</v>
      </c>
      <c r="D39" s="18">
        <f t="shared" si="4"/>
        <v>0.4</v>
      </c>
      <c r="E39" s="18">
        <f>C39*EXP(-A39*D39)*B39</f>
        <v>1.1109907862748204E-8</v>
      </c>
      <c r="F39" s="18">
        <f t="shared" si="5"/>
        <v>0.20833333333333334</v>
      </c>
      <c r="G39" s="18">
        <f t="shared" si="6"/>
        <v>0.4</v>
      </c>
      <c r="H39" s="18">
        <f>(F39*EXP(-A39*G39)+C39*(1-EXP(-A39*D39))*EXP(-A39*G39))*B39</f>
        <v>2.2211521225953708E-8</v>
      </c>
      <c r="I39" s="18">
        <f t="shared" si="7"/>
        <v>0.58333333333333337</v>
      </c>
      <c r="J39" s="19">
        <f t="shared" si="12"/>
        <v>0.14285714285714285</v>
      </c>
      <c r="K39" s="19">
        <f>(I39*EXP(-A39*J39)+C39*(1-EXP(-A39*D39))*(1-EXP(-A39*G39))*EXP(-A39*J39)+F39*(1-EXP(-A39*G39))*EXP(-A39*J39))*B39</f>
        <v>5.4564738662381052E-6</v>
      </c>
      <c r="L39" s="45">
        <f t="shared" si="9"/>
        <v>0</v>
      </c>
      <c r="M39" s="45">
        <f t="shared" si="10"/>
        <v>0.2</v>
      </c>
      <c r="N39" s="10">
        <f t="shared" si="1"/>
        <v>1.8016928175789353E-6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s="3" customFormat="1" x14ac:dyDescent="0.3">
      <c r="A40" s="3">
        <f t="shared" si="11"/>
        <v>17</v>
      </c>
      <c r="B40" s="19">
        <f>F4/100000/7</f>
        <v>7.1428571428571434E-5</v>
      </c>
      <c r="C40" s="18">
        <f t="shared" si="3"/>
        <v>0.20833333333333334</v>
      </c>
      <c r="D40" s="18">
        <f t="shared" si="4"/>
        <v>0.4</v>
      </c>
      <c r="E40" s="18">
        <f>C40*EXP(-A40*D40)*B40</f>
        <v>1.6574034938166705E-8</v>
      </c>
      <c r="F40" s="18">
        <f t="shared" si="5"/>
        <v>0.20833333333333334</v>
      </c>
      <c r="G40" s="18">
        <f t="shared" si="6"/>
        <v>0.4</v>
      </c>
      <c r="H40" s="18">
        <f>(F40*EXP(-A40*G40)+C40*(1-EXP(-A40*D40))*EXP(-A40*G40))*B40</f>
        <v>3.3129610128119763E-8</v>
      </c>
      <c r="I40" s="18">
        <f t="shared" si="7"/>
        <v>0.58333333333333337</v>
      </c>
      <c r="J40" s="19">
        <f t="shared" si="12"/>
        <v>0.14285714285714285</v>
      </c>
      <c r="K40" s="19">
        <f>(I40*EXP(-A40*J40)+C40*(1-EXP(-A40*D40))*(1-EXP(-A40*G40))*EXP(-A40*J40)+F40*(1-EXP(-A40*G40))*EXP(-A40*J40))*B40</f>
        <v>6.2929529474339479E-6</v>
      </c>
      <c r="L40" s="45">
        <f t="shared" si="9"/>
        <v>0</v>
      </c>
      <c r="M40" s="45">
        <f t="shared" si="10"/>
        <v>0.2</v>
      </c>
      <c r="N40" s="10">
        <f t="shared" si="1"/>
        <v>2.1721298064389958E-6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s="3" customFormat="1" x14ac:dyDescent="0.3">
      <c r="A41" s="3">
        <f t="shared" si="11"/>
        <v>16</v>
      </c>
      <c r="B41" s="19">
        <f>F4/100000/7</f>
        <v>7.1428571428571434E-5</v>
      </c>
      <c r="C41" s="18">
        <f t="shared" si="3"/>
        <v>0.20833333333333334</v>
      </c>
      <c r="D41" s="18">
        <f t="shared" si="4"/>
        <v>0.4</v>
      </c>
      <c r="E41" s="18">
        <f>C41*EXP(-A41*D41)*B41</f>
        <v>2.4725554660326401E-8</v>
      </c>
      <c r="F41" s="18">
        <f t="shared" si="5"/>
        <v>0.20833333333333334</v>
      </c>
      <c r="G41" s="18">
        <f t="shared" si="6"/>
        <v>0.4</v>
      </c>
      <c r="H41" s="18">
        <f>(F41*EXP(-A41*G41)+C41*(1-EXP(-A41*D41))*EXP(-A41*G41))*B41</f>
        <v>4.9410026395473673E-8</v>
      </c>
      <c r="I41" s="18">
        <f t="shared" si="7"/>
        <v>0.58333333333333337</v>
      </c>
      <c r="J41" s="19">
        <f t="shared" si="12"/>
        <v>0.14285714285714285</v>
      </c>
      <c r="K41" s="19">
        <f>(I41*EXP(-A41*J41)+C41*(1-EXP(-A41*D41))*(1-EXP(-A41*G41))*EXP(-A41*J41)+F41*(1-EXP(-A41*G41))*EXP(-A41*J41))*B41</f>
        <v>7.2568454727749745E-6</v>
      </c>
      <c r="L41" s="45">
        <f t="shared" si="9"/>
        <v>0</v>
      </c>
      <c r="M41" s="45">
        <f t="shared" si="10"/>
        <v>0.2</v>
      </c>
      <c r="N41" s="10">
        <f t="shared" si="1"/>
        <v>2.6127590533769417E-6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s="3" customFormat="1" x14ac:dyDescent="0.3">
      <c r="A42" s="3">
        <f t="shared" si="11"/>
        <v>15</v>
      </c>
      <c r="B42" s="19">
        <f>F4/100000/7</f>
        <v>7.1428571428571434E-5</v>
      </c>
      <c r="C42" s="18">
        <f t="shared" si="3"/>
        <v>0.20833333333333334</v>
      </c>
      <c r="D42" s="18">
        <f t="shared" si="4"/>
        <v>0.4</v>
      </c>
      <c r="E42" s="18">
        <f>C42*EXP(-A42*D42)*B42</f>
        <v>3.6886193105154153E-8</v>
      </c>
      <c r="F42" s="18">
        <f t="shared" si="5"/>
        <v>0.20833333333333334</v>
      </c>
      <c r="G42" s="18">
        <f t="shared" si="6"/>
        <v>0.4</v>
      </c>
      <c r="H42" s="18">
        <f>(F42*EXP(-A42*G42)+C42*(1-EXP(-A42*D42))*EXP(-A42*G42))*B42</f>
        <v>7.3680954478859967E-8</v>
      </c>
      <c r="I42" s="18">
        <f t="shared" si="7"/>
        <v>0.58333333333333337</v>
      </c>
      <c r="J42" s="19">
        <f t="shared" si="12"/>
        <v>0.14285714285714285</v>
      </c>
      <c r="K42" s="19">
        <f>(I42*EXP(-A42*J42)+C42*(1-EXP(-A42*D42))*(1-EXP(-A42*G42))*EXP(-A42*J42)+F42*(1-EXP(-A42*G42))*EXP(-A42*J42))*B42</f>
        <v>8.3669687897516518E-6</v>
      </c>
      <c r="L42" s="45">
        <f t="shared" si="9"/>
        <v>0</v>
      </c>
      <c r="M42" s="45">
        <f t="shared" si="10"/>
        <v>0.2</v>
      </c>
      <c r="N42" s="10">
        <f t="shared" si="1"/>
        <v>3.134147507829985E-6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s="4" customFormat="1" x14ac:dyDescent="0.3">
      <c r="A43" s="3">
        <f t="shared" si="11"/>
        <v>14</v>
      </c>
      <c r="B43" s="19">
        <f>F4/100000/7</f>
        <v>7.1428571428571434E-5</v>
      </c>
      <c r="C43" s="18">
        <f t="shared" si="3"/>
        <v>0.20833333333333334</v>
      </c>
      <c r="D43" s="18">
        <f t="shared" si="4"/>
        <v>0.4</v>
      </c>
      <c r="E43" s="18">
        <f>C43*EXP(-A43*D43)*B43</f>
        <v>5.5027733876234063E-8</v>
      </c>
      <c r="F43" s="18">
        <f t="shared" si="5"/>
        <v>0.20833333333333334</v>
      </c>
      <c r="G43" s="18">
        <f t="shared" si="6"/>
        <v>0.4</v>
      </c>
      <c r="H43" s="18">
        <f>(F43*EXP(-A43*G43)+C43*(1-EXP(-A43*D43))*EXP(-A43*G43))*B43</f>
        <v>1.0985198269196694E-7</v>
      </c>
      <c r="I43" s="18">
        <f t="shared" si="7"/>
        <v>0.58333333333333337</v>
      </c>
      <c r="J43" s="19">
        <f t="shared" si="12"/>
        <v>0.14285714285714285</v>
      </c>
      <c r="K43" s="19">
        <f>(I43*EXP(-A43*J43)+C43*(1-EXP(-A43*D43))*(1-EXP(-A43*G43))*EXP(-A43*J43)+F43*(1-EXP(-A43*G43))*EXP(-A43*J43))*B43</f>
        <v>9.6444919023306065E-6</v>
      </c>
      <c r="L43" s="45">
        <f t="shared" si="9"/>
        <v>0</v>
      </c>
      <c r="M43" s="45">
        <f t="shared" si="10"/>
        <v>0.2</v>
      </c>
      <c r="N43" s="10">
        <f t="shared" si="1"/>
        <v>3.7470673993420108E-6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 s="4" customFormat="1" x14ac:dyDescent="0.3">
      <c r="A44" s="4">
        <f t="shared" si="11"/>
        <v>13</v>
      </c>
      <c r="B44" s="19">
        <f>F5/100000/7</f>
        <v>7.1428571428571434E-5</v>
      </c>
      <c r="C44" s="18">
        <f t="shared" si="3"/>
        <v>0.20833333333333334</v>
      </c>
      <c r="D44" s="18">
        <f t="shared" si="4"/>
        <v>0.4</v>
      </c>
      <c r="E44" s="18">
        <f>C44*EXP(-A44*D44)*B44</f>
        <v>8.2091732451797208E-8</v>
      </c>
      <c r="F44" s="18">
        <f t="shared" si="5"/>
        <v>0.20833333333333334</v>
      </c>
      <c r="G44" s="18">
        <f t="shared" si="6"/>
        <v>0.4</v>
      </c>
      <c r="H44" s="18">
        <f>(F44*EXP(-A44*G44)+C44*(1-EXP(-A44*D44))*EXP(-A44*G44))*B44</f>
        <v>1.6373060057311224E-7</v>
      </c>
      <c r="I44" s="18">
        <f t="shared" si="7"/>
        <v>0.58333333333333337</v>
      </c>
      <c r="J44" s="19">
        <f t="shared" si="12"/>
        <v>0.14285714285714285</v>
      </c>
      <c r="K44" s="19">
        <f>(I44*EXP(-A44*J44)+C44*(1-EXP(-A44*D44))*(1-EXP(-A44*G44))*EXP(-A44*J44)+F44*(1-EXP(-A44*G44))*EXP(-A44*J44))*B44</f>
        <v>1.1112911649013934E-5</v>
      </c>
      <c r="L44" s="45">
        <f t="shared" si="9"/>
        <v>0</v>
      </c>
      <c r="M44" s="45">
        <f t="shared" si="10"/>
        <v>0.2</v>
      </c>
      <c r="N44" s="10">
        <f t="shared" si="1"/>
        <v>4.4616017699073609E-6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s="4" customFormat="1" x14ac:dyDescent="0.3">
      <c r="A45" s="4">
        <f t="shared" si="11"/>
        <v>12</v>
      </c>
      <c r="B45" s="19">
        <f>F5/100000/7</f>
        <v>7.1428571428571434E-5</v>
      </c>
      <c r="C45" s="18">
        <f t="shared" si="3"/>
        <v>0.20833333333333334</v>
      </c>
      <c r="D45" s="18">
        <f t="shared" si="4"/>
        <v>0.4</v>
      </c>
      <c r="E45" s="18">
        <f>C45*EXP(-A45*D45)*B45</f>
        <v>1.2246647394375035E-7</v>
      </c>
      <c r="F45" s="18">
        <f t="shared" si="5"/>
        <v>0.20833333333333334</v>
      </c>
      <c r="G45" s="18">
        <f t="shared" si="6"/>
        <v>0.4</v>
      </c>
      <c r="H45" s="18">
        <f>(F45*EXP(-A45*G45)+C45*(1-EXP(-A45*D45))*EXP(-A45*G45))*B45</f>
        <v>2.4392507978495822E-7</v>
      </c>
      <c r="I45" s="18">
        <f t="shared" si="7"/>
        <v>0.58333333333333337</v>
      </c>
      <c r="J45" s="19">
        <f t="shared" si="12"/>
        <v>0.14285714285714285</v>
      </c>
      <c r="K45" s="19">
        <f>(I45*EXP(-A45*J45)+C45*(1-EXP(-A45*D45))*(1-EXP(-A45*G45))*EXP(-A45*J45)+F45*(1-EXP(-A45*G45))*EXP(-A45*J45))*B45</f>
        <v>1.2797752279934118E-5</v>
      </c>
      <c r="L45" s="45">
        <f t="shared" si="9"/>
        <v>0</v>
      </c>
      <c r="M45" s="45">
        <f t="shared" si="10"/>
        <v>0.2</v>
      </c>
      <c r="N45" s="10">
        <f t="shared" si="1"/>
        <v>5.2856296209892745E-6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 s="4" customFormat="1" x14ac:dyDescent="0.3">
      <c r="A46" s="4">
        <f t="shared" si="11"/>
        <v>11</v>
      </c>
      <c r="B46" s="19">
        <f>F5/100000/7</f>
        <v>7.1428571428571434E-5</v>
      </c>
      <c r="C46" s="18">
        <f t="shared" si="3"/>
        <v>0.20833333333333334</v>
      </c>
      <c r="D46" s="18">
        <f t="shared" si="4"/>
        <v>0.4</v>
      </c>
      <c r="E46" s="18">
        <f>C46*EXP(-A46*D46)*B46</f>
        <v>1.8269851046232796E-7</v>
      </c>
      <c r="F46" s="18">
        <f t="shared" si="5"/>
        <v>0.20833333333333334</v>
      </c>
      <c r="G46" s="18">
        <f t="shared" si="6"/>
        <v>0.4</v>
      </c>
      <c r="H46" s="18">
        <f>(F46*EXP(-A46*G46)+C46*(1-EXP(-A46*D46))*EXP(-A46*G46))*B46</f>
        <v>3.631539692119256E-7</v>
      </c>
      <c r="I46" s="18">
        <f t="shared" si="7"/>
        <v>0.58333333333333337</v>
      </c>
      <c r="J46" s="19">
        <f t="shared" si="12"/>
        <v>0.14285714285714285</v>
      </c>
      <c r="K46" s="19">
        <f>(I46*EXP(-A46*J46)+C46*(1-EXP(-A46*D46))*(1-EXP(-A46*G46))*EXP(-A46*J46)+F46*(1-EXP(-A46*G46))*EXP(-A46*J46))*B46</f>
        <v>1.4725756361442754E-5</v>
      </c>
      <c r="L46" s="45">
        <f t="shared" si="9"/>
        <v>0</v>
      </c>
      <c r="M46" s="45">
        <f t="shared" si="10"/>
        <v>0.2</v>
      </c>
      <c r="N46" s="10">
        <f t="shared" si="1"/>
        <v>6.222368818725372E-6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s="4" customFormat="1" x14ac:dyDescent="0.3">
      <c r="A47" s="4">
        <f t="shared" si="11"/>
        <v>10</v>
      </c>
      <c r="B47" s="19">
        <f>F5/100000/7</f>
        <v>7.1428571428571434E-5</v>
      </c>
      <c r="C47" s="18">
        <f t="shared" si="3"/>
        <v>0.20833333333333334</v>
      </c>
      <c r="D47" s="18">
        <f t="shared" si="4"/>
        <v>0.4</v>
      </c>
      <c r="E47" s="18">
        <f>C47*EXP(-A47*D47)*B47</f>
        <v>2.7255415012997293E-7</v>
      </c>
      <c r="F47" s="18">
        <f t="shared" si="5"/>
        <v>0.20833333333333334</v>
      </c>
      <c r="G47" s="18">
        <f t="shared" si="6"/>
        <v>0.4</v>
      </c>
      <c r="H47" s="18">
        <f>(F47*EXP(-A47*G47)+C47*(1-EXP(-A47*D47))*EXP(-A47*G47))*B47</f>
        <v>5.4011629686853938E-7</v>
      </c>
      <c r="I47" s="18">
        <f t="shared" si="7"/>
        <v>0.58333333333333337</v>
      </c>
      <c r="J47" s="19">
        <f t="shared" si="12"/>
        <v>0.14285714285714285</v>
      </c>
      <c r="K47" s="19">
        <f>(I47*EXP(-A47*J47)+C47*(1-EXP(-A47*D47))*(1-EXP(-A47*G47))*EXP(-A47*J47)+F47*(1-EXP(-A47*G47))*EXP(-A47*J47))*B47</f>
        <v>1.6923173859503766E-5</v>
      </c>
      <c r="L47" s="45">
        <f t="shared" si="9"/>
        <v>0</v>
      </c>
      <c r="M47" s="45">
        <f t="shared" si="10"/>
        <v>0.2</v>
      </c>
      <c r="N47" s="10">
        <f t="shared" si="1"/>
        <v>7.2665204328113858E-6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s="4" customFormat="1" x14ac:dyDescent="0.3">
      <c r="A48" s="4">
        <f t="shared" si="11"/>
        <v>9</v>
      </c>
      <c r="B48" s="19">
        <f>F5/100000/7</f>
        <v>7.1428571428571434E-5</v>
      </c>
      <c r="C48" s="18">
        <f t="shared" si="3"/>
        <v>0.20833333333333334</v>
      </c>
      <c r="D48" s="18">
        <f t="shared" si="4"/>
        <v>0.4</v>
      </c>
      <c r="E48" s="18">
        <f>C48*EXP(-A48*D48)*B48</f>
        <v>4.066030126085203E-7</v>
      </c>
      <c r="F48" s="18">
        <f t="shared" si="5"/>
        <v>0.20833333333333334</v>
      </c>
      <c r="G48" s="18">
        <f t="shared" si="6"/>
        <v>0.4</v>
      </c>
      <c r="H48" s="18">
        <f>(F48*EXP(-A48*G48)+C48*(1-EXP(-A48*D48))*EXP(-A48*G48))*B48</f>
        <v>8.0209611735429229E-7</v>
      </c>
      <c r="I48" s="18">
        <f t="shared" si="7"/>
        <v>0.58333333333333337</v>
      </c>
      <c r="J48" s="19">
        <f t="shared" si="12"/>
        <v>0.14285714285714285</v>
      </c>
      <c r="K48" s="19">
        <f>(I48*EXP(-A48*J48)+C48*(1-EXP(-A48*D48))*(1-EXP(-A48*G48))*EXP(-A48*J48)+F48*(1-EXP(-A48*G48))*EXP(-A48*J48))*B48</f>
        <v>1.9412497630889312E-5</v>
      </c>
      <c r="L48" s="45">
        <f t="shared" si="9"/>
        <v>0</v>
      </c>
      <c r="M48" s="45">
        <f t="shared" si="10"/>
        <v>0.2</v>
      </c>
      <c r="N48" s="10">
        <f t="shared" si="1"/>
        <v>8.3984025460316016E-6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s="4" customFormat="1" x14ac:dyDescent="0.3">
      <c r="A49" s="4">
        <f t="shared" si="11"/>
        <v>8</v>
      </c>
      <c r="B49" s="19">
        <f>F5/100000/7</f>
        <v>7.1428571428571434E-5</v>
      </c>
      <c r="C49" s="18">
        <f t="shared" si="3"/>
        <v>0.20833333333333334</v>
      </c>
      <c r="D49" s="18">
        <f t="shared" si="4"/>
        <v>0.4</v>
      </c>
      <c r="E49" s="18">
        <f>C49*EXP(-A49*D49)*B49</f>
        <v>6.0658041634473526E-7</v>
      </c>
      <c r="F49" s="18">
        <f t="shared" si="5"/>
        <v>0.20833333333333334</v>
      </c>
      <c r="G49" s="18">
        <f t="shared" si="6"/>
        <v>0.4</v>
      </c>
      <c r="H49" s="18">
        <f>(F49*EXP(-A49*G49)+C49*(1-EXP(-A49*D49))*EXP(-A49*G49))*B49</f>
        <v>1.1884352780291443E-6</v>
      </c>
      <c r="I49" s="18">
        <f t="shared" si="7"/>
        <v>0.58333333333333337</v>
      </c>
      <c r="J49" s="19">
        <f t="shared" si="12"/>
        <v>0.14285714285714285</v>
      </c>
      <c r="K49" s="19">
        <f>(I49*EXP(-A49*J49)+C49*(1-EXP(-A49*D49))*(1-EXP(-A49*G49))*EXP(-A49*J49)+F49*(1-EXP(-A49*G49))*EXP(-A49*J49))*B49</f>
        <v>2.2206597533419765E-5</v>
      </c>
      <c r="L49" s="45">
        <f t="shared" si="9"/>
        <v>0</v>
      </c>
      <c r="M49" s="45">
        <f t="shared" si="10"/>
        <v>0.2</v>
      </c>
      <c r="N49" s="10">
        <f t="shared" si="1"/>
        <v>9.5753377198151029E-6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s="5" customFormat="1" x14ac:dyDescent="0.3">
      <c r="A50" s="4">
        <f t="shared" si="11"/>
        <v>7</v>
      </c>
      <c r="B50" s="19">
        <f>F5/100000/7</f>
        <v>7.1428571428571434E-5</v>
      </c>
      <c r="C50" s="18">
        <f t="shared" si="3"/>
        <v>0.20833333333333334</v>
      </c>
      <c r="D50" s="18">
        <f t="shared" si="4"/>
        <v>0.4</v>
      </c>
      <c r="E50" s="18">
        <f>C50*EXP(-A50*D50)*B50</f>
        <v>9.0491164620860051E-7</v>
      </c>
      <c r="F50" s="18">
        <f t="shared" si="5"/>
        <v>0.20833333333333334</v>
      </c>
      <c r="G50" s="18">
        <f t="shared" si="6"/>
        <v>0.4</v>
      </c>
      <c r="H50" s="18">
        <f>(F50*EXP(-A50*G50)+C50*(1-EXP(-A50*D50))*EXP(-A50*G50))*B50</f>
        <v>1.754795558540967E-6</v>
      </c>
      <c r="I50" s="18">
        <f t="shared" si="7"/>
        <v>0.58333333333333337</v>
      </c>
      <c r="J50" s="19">
        <f t="shared" si="12"/>
        <v>0.14285714285714285</v>
      </c>
      <c r="K50" s="19">
        <f>(I50*EXP(-A50*J50)+C50*(1-EXP(-A50*D50))*(1-EXP(-A50*G50))*EXP(-A50*J50)+F50*(1-EXP(-A50*G50))*EXP(-A50*J50))*B50</f>
        <v>2.5298651340654386E-5</v>
      </c>
      <c r="L50" s="45">
        <f t="shared" si="9"/>
        <v>0</v>
      </c>
      <c r="M50" s="45">
        <f t="shared" si="10"/>
        <v>0.2</v>
      </c>
      <c r="N50" s="10">
        <f t="shared" si="1"/>
        <v>1.0719622518884408E-5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s="5" customFormat="1" x14ac:dyDescent="0.3">
      <c r="A51" s="5">
        <f t="shared" si="11"/>
        <v>6</v>
      </c>
      <c r="B51" s="19">
        <f>F6/100000/7</f>
        <v>7.1428571428571434E-5</v>
      </c>
      <c r="C51" s="18">
        <f t="shared" si="3"/>
        <v>0.20833333333333334</v>
      </c>
      <c r="D51" s="18">
        <f t="shared" si="4"/>
        <v>0.4</v>
      </c>
      <c r="E51" s="18">
        <f>C51*EXP(-A51*D51)*B51</f>
        <v>1.3499695429972096E-6</v>
      </c>
      <c r="F51" s="18">
        <f t="shared" si="5"/>
        <v>0.20833333333333334</v>
      </c>
      <c r="G51" s="18">
        <f t="shared" si="6"/>
        <v>0.4</v>
      </c>
      <c r="H51" s="18">
        <f>(F51*EXP(-A51*G51)+C51*(1-EXP(-A51*D51))*EXP(-A51*G51))*B51</f>
        <v>2.5774726120506687E-6</v>
      </c>
      <c r="I51" s="18">
        <f t="shared" si="7"/>
        <v>0.58333333333333337</v>
      </c>
      <c r="J51" s="19">
        <f t="shared" si="12"/>
        <v>0.14285714285714285</v>
      </c>
      <c r="K51" s="19">
        <f>(I51*EXP(-A51*J51)+C51*(1-EXP(-A51*D51))*(1-EXP(-A51*G51))*EXP(-A51*J51)+F51*(1-EXP(-A51*G51))*EXP(-A51*J51))*B51</f>
        <v>2.8645646316212864E-5</v>
      </c>
      <c r="L51" s="45">
        <f t="shared" si="9"/>
        <v>0</v>
      </c>
      <c r="M51" s="45">
        <f t="shared" si="10"/>
        <v>0.2</v>
      </c>
      <c r="N51" s="10">
        <f t="shared" si="1"/>
        <v>1.1703046567795191E-5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s="5" customFormat="1" x14ac:dyDescent="0.3">
      <c r="A52" s="5">
        <f>A51-1</f>
        <v>5</v>
      </c>
      <c r="B52" s="19">
        <f>F6/100000/7</f>
        <v>7.1428571428571434E-5</v>
      </c>
      <c r="C52" s="18">
        <f t="shared" si="3"/>
        <v>0.20833333333333334</v>
      </c>
      <c r="D52" s="18">
        <f t="shared" si="4"/>
        <v>0.4</v>
      </c>
      <c r="E52" s="18">
        <f>C52*EXP(-A52*D52)*B52</f>
        <v>2.0139179053067368E-6</v>
      </c>
      <c r="F52" s="18">
        <f t="shared" si="5"/>
        <v>0.20833333333333334</v>
      </c>
      <c r="G52" s="18">
        <f t="shared" si="6"/>
        <v>0.4</v>
      </c>
      <c r="H52" s="18">
        <f>(F52*EXP(-A52*G52)+C52*(1-EXP(-A52*D52))*EXP(-A52*G52))*B52</f>
        <v>3.7552816604835006E-6</v>
      </c>
      <c r="I52" s="18">
        <f t="shared" si="7"/>
        <v>0.58333333333333337</v>
      </c>
      <c r="J52" s="19">
        <f t="shared" si="12"/>
        <v>0.14285714285714285</v>
      </c>
      <c r="K52" s="19">
        <f>(I52*EXP(-A52*J52)+C52*(1-EXP(-A52*D52))*(1-EXP(-A52*G52))*EXP(-A52*J52)+F52*(1-EXP(-A52*G52))*EXP(-A52*J52))*B52</f>
        <v>3.2142997867173025E-5</v>
      </c>
      <c r="L52" s="45">
        <f t="shared" si="9"/>
        <v>0</v>
      </c>
      <c r="M52" s="45">
        <f t="shared" si="10"/>
        <v>0.2</v>
      </c>
      <c r="N52" s="10">
        <f t="shared" si="1"/>
        <v>1.2329984935597398E-5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s="5" customFormat="1" x14ac:dyDescent="0.3">
      <c r="A53" s="5">
        <f t="shared" si="11"/>
        <v>4</v>
      </c>
      <c r="B53" s="19">
        <f>F6/100000/7</f>
        <v>7.1428571428571434E-5</v>
      </c>
      <c r="C53" s="18">
        <f t="shared" si="3"/>
        <v>0.20833333333333334</v>
      </c>
      <c r="D53" s="18">
        <f t="shared" si="4"/>
        <v>0.4</v>
      </c>
      <c r="E53" s="18">
        <f>C53*EXP(-A53*D53)*B53</f>
        <v>3.0044124701585626E-6</v>
      </c>
      <c r="F53" s="18">
        <f t="shared" si="5"/>
        <v>0.20833333333333334</v>
      </c>
      <c r="G53" s="18">
        <f t="shared" si="6"/>
        <v>0.4</v>
      </c>
      <c r="H53" s="18">
        <f>(F53*EXP(-A53*G53)+C53*(1-EXP(-A53*D53))*EXP(-A53*G53))*B53</f>
        <v>5.40224452397239E-6</v>
      </c>
      <c r="I53" s="18">
        <f t="shared" si="7"/>
        <v>0.58333333333333337</v>
      </c>
      <c r="J53" s="19">
        <f t="shared" si="12"/>
        <v>0.14285714285714285</v>
      </c>
      <c r="K53" s="19">
        <f>(I53*EXP(-A53*J53)+C53*(1-EXP(-A53*D53))*(1-EXP(-A53*G53))*EXP(-A53*J53)+F53*(1-EXP(-A53*G53))*EXP(-A53*J53))*B53</f>
        <v>3.5589617164750926E-5</v>
      </c>
      <c r="L53" s="45">
        <f t="shared" si="9"/>
        <v>0</v>
      </c>
      <c r="M53" s="45">
        <f t="shared" si="10"/>
        <v>0.2</v>
      </c>
      <c r="N53" s="10">
        <f t="shared" si="1"/>
        <v>1.2326125715545294E-5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1:35" s="5" customFormat="1" x14ac:dyDescent="0.3">
      <c r="A54" s="5">
        <f t="shared" si="11"/>
        <v>3</v>
      </c>
      <c r="B54" s="19">
        <f>F6/100000/7</f>
        <v>7.1428571428571434E-5</v>
      </c>
      <c r="C54" s="18">
        <f t="shared" si="3"/>
        <v>0.20833333333333334</v>
      </c>
      <c r="D54" s="18">
        <f t="shared" si="4"/>
        <v>0.4</v>
      </c>
      <c r="E54" s="18">
        <f>C54*EXP(-A54*D54)*B54</f>
        <v>4.4820567248839585E-6</v>
      </c>
      <c r="F54" s="18">
        <f t="shared" si="5"/>
        <v>0.20833333333333334</v>
      </c>
      <c r="G54" s="18">
        <f t="shared" si="6"/>
        <v>0.4</v>
      </c>
      <c r="H54" s="18">
        <f>(F54*EXP(-A54*G54)+C54*(1-EXP(-A54*D54))*EXP(-A54*G54))*B54</f>
        <v>7.6141439067707088E-6</v>
      </c>
      <c r="I54" s="18">
        <f t="shared" si="7"/>
        <v>0.58333333333333337</v>
      </c>
      <c r="J54" s="19">
        <f t="shared" si="12"/>
        <v>0.14285714285714285</v>
      </c>
      <c r="K54" s="19">
        <f>(I54*EXP(-A54*J54)+C54*(1-EXP(-A54*D54))*(1-EXP(-A54*G54))*EXP(-A54*J54)+F54*(1-EXP(-A54*G54))*EXP(-A54*J54))*B54</f>
        <v>3.8651423713026586E-5</v>
      </c>
      <c r="L54" s="45">
        <f t="shared" si="9"/>
        <v>0</v>
      </c>
      <c r="M54" s="45">
        <f t="shared" si="10"/>
        <v>0.2</v>
      </c>
      <c r="N54" s="10">
        <f t="shared" si="1"/>
        <v>1.1349944405083756E-5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1:35" s="5" customFormat="1" x14ac:dyDescent="0.3">
      <c r="A55" s="5">
        <f t="shared" si="11"/>
        <v>2</v>
      </c>
      <c r="B55" s="19">
        <f>F6/100000/7</f>
        <v>7.1428571428571434E-5</v>
      </c>
      <c r="C55" s="18">
        <f t="shared" si="3"/>
        <v>0.20833333333333334</v>
      </c>
      <c r="D55" s="18">
        <f t="shared" si="4"/>
        <v>0.4</v>
      </c>
      <c r="E55" s="18">
        <f>C55*EXP(-A55*D55)*B55</f>
        <v>6.6864429184110364E-6</v>
      </c>
      <c r="F55" s="18">
        <f t="shared" si="5"/>
        <v>0.20833333333333334</v>
      </c>
      <c r="G55" s="18">
        <f t="shared" si="6"/>
        <v>0.4</v>
      </c>
      <c r="H55" s="18">
        <f>(F55*EXP(-A55*G55)+C55*(1-EXP(-A55*D55))*EXP(-A55*G55))*B55</f>
        <v>1.0368473366663509E-5</v>
      </c>
      <c r="I55" s="18">
        <f t="shared" si="7"/>
        <v>0.58333333333333337</v>
      </c>
      <c r="J55" s="19">
        <f t="shared" si="12"/>
        <v>0.14285714285714285</v>
      </c>
      <c r="K55" s="19">
        <f>(I55*EXP(-A55*J55)+C55*(1-EXP(-A55*D55))*(1-EXP(-A55*G55))*EXP(-A55*J55)+F55*(1-EXP(-A55*G55))*EXP(-A55*J55))*B55</f>
        <v>4.0860567181844146E-5</v>
      </c>
      <c r="L55" s="45">
        <f t="shared" si="9"/>
        <v>0</v>
      </c>
      <c r="M55" s="45">
        <f t="shared" si="10"/>
        <v>0.2</v>
      </c>
      <c r="N55" s="10">
        <f t="shared" si="1"/>
        <v>9.0580937445387129E-6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spans="1:35" s="6" customFormat="1" x14ac:dyDescent="0.3">
      <c r="A56" s="5">
        <f t="shared" si="11"/>
        <v>1</v>
      </c>
      <c r="B56" s="19">
        <f>F6/100000/7</f>
        <v>7.1428571428571434E-5</v>
      </c>
      <c r="C56" s="18">
        <f t="shared" si="3"/>
        <v>0.20833333333333334</v>
      </c>
      <c r="D56" s="18">
        <f t="shared" si="4"/>
        <v>0.4</v>
      </c>
      <c r="E56" s="18">
        <f>C56*EXP(-A56*D56)*B56</f>
        <v>9.9750006850541593E-6</v>
      </c>
      <c r="F56" s="18">
        <f t="shared" si="5"/>
        <v>0.20833333333333334</v>
      </c>
      <c r="G56" s="18">
        <f t="shared" si="6"/>
        <v>0.4</v>
      </c>
      <c r="H56" s="18">
        <f>(F56*EXP(-A56*G56)+C56*(1-EXP(-A56*D56))*EXP(-A56*G56))*B56</f>
        <v>1.326355845169728E-5</v>
      </c>
      <c r="I56" s="18">
        <f t="shared" si="7"/>
        <v>0.58333333333333337</v>
      </c>
      <c r="J56" s="19">
        <f t="shared" si="12"/>
        <v>0.14285714285714285</v>
      </c>
      <c r="K56" s="19">
        <f>(I56*EXP(-A56*J56)+C56*(1-EXP(-A56*D56))*(1-EXP(-A56*G56))*EXP(-A56*J56)+F56*(1-EXP(-A56*G56))*EXP(-A56*J56))*B56</f>
        <v>4.1774856644468357E-5</v>
      </c>
      <c r="L56" s="45">
        <f t="shared" si="9"/>
        <v>0</v>
      </c>
      <c r="M56" s="45">
        <f t="shared" si="10"/>
        <v>0.2</v>
      </c>
      <c r="N56" s="10">
        <f t="shared" si="1"/>
        <v>5.2522852142686802E-6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</row>
    <row r="57" spans="1:35" ht="15" thickBot="1" x14ac:dyDescent="0.35">
      <c r="A57" s="6">
        <f t="shared" si="11"/>
        <v>0</v>
      </c>
      <c r="B57" s="20">
        <f>F6/100000/7</f>
        <v>7.1428571428571434E-5</v>
      </c>
      <c r="C57" s="18">
        <f t="shared" si="3"/>
        <v>0.20833333333333334</v>
      </c>
      <c r="D57" s="18">
        <f t="shared" si="4"/>
        <v>0.4</v>
      </c>
      <c r="E57" s="18">
        <f>C57*EXP(-A57*D57)*B57</f>
        <v>1.4880952380952383E-5</v>
      </c>
      <c r="F57" s="18">
        <f t="shared" si="5"/>
        <v>0.20833333333333334</v>
      </c>
      <c r="G57" s="18">
        <f t="shared" si="6"/>
        <v>0.4</v>
      </c>
      <c r="H57" s="18">
        <f>(F57*EXP(-A57*G57)+C57*(1-EXP(-A57*D57))*EXP(-A57*G57))*B57</f>
        <v>1.4880952380952383E-5</v>
      </c>
      <c r="I57" s="18">
        <f t="shared" si="7"/>
        <v>0.58333333333333337</v>
      </c>
      <c r="J57" s="20">
        <f t="shared" si="12"/>
        <v>0.14285714285714285</v>
      </c>
      <c r="K57" s="19">
        <f>(I57*EXP(-A57*J57)+C57*(1-EXP(-A57*D57))*(1-EXP(-A57*G57))*EXP(-A57*J57)+F57*(1-EXP(-A57*G57))*EXP(-A57*J57))*B57</f>
        <v>4.1666666666666672E-5</v>
      </c>
      <c r="L57" s="45">
        <f t="shared" si="9"/>
        <v>0</v>
      </c>
      <c r="M57" s="45">
        <f t="shared" si="10"/>
        <v>0.2</v>
      </c>
      <c r="N57" s="10">
        <f t="shared" si="1"/>
        <v>0</v>
      </c>
    </row>
    <row r="58" spans="1:35" ht="15" thickBot="1" x14ac:dyDescent="0.35">
      <c r="A58" t="s">
        <v>22</v>
      </c>
      <c r="D58" s="21"/>
      <c r="E58" s="19">
        <f>SUM(E23:E57)</f>
        <v>4.5137533623356973E-5</v>
      </c>
      <c r="F58" s="11"/>
      <c r="G58" s="11"/>
      <c r="H58" s="19">
        <f>SUM(H23:H57)</f>
        <v>6.3251760387862181E-5</v>
      </c>
      <c r="I58" s="11"/>
      <c r="J58" s="11"/>
      <c r="K58" s="19">
        <f>SUM(K23:K57)</f>
        <v>4.5075657424528887E-4</v>
      </c>
      <c r="N58" s="10">
        <f>SUM(N23:N57)</f>
        <v>1.3550831041804942E-4</v>
      </c>
    </row>
    <row r="59" spans="1:35" ht="72" x14ac:dyDescent="0.3">
      <c r="D59" s="10"/>
      <c r="E59" s="10" t="s">
        <v>23</v>
      </c>
      <c r="F59" s="10"/>
      <c r="G59" s="10"/>
      <c r="H59" s="10" t="s">
        <v>55</v>
      </c>
      <c r="K59" s="10" t="s">
        <v>56</v>
      </c>
      <c r="N59" s="10" t="s">
        <v>92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7"/>
  <sheetViews>
    <sheetView tabSelected="1" topLeftCell="A13" zoomScaleNormal="100" workbookViewId="0">
      <selection activeCell="C18" sqref="A18:XFD18"/>
    </sheetView>
  </sheetViews>
  <sheetFormatPr baseColWidth="10" defaultRowHeight="14.4" x14ac:dyDescent="0.3"/>
  <cols>
    <col min="1" max="1" width="46.44140625" style="1" customWidth="1"/>
    <col min="2" max="2" width="12.77734375" customWidth="1"/>
    <col min="4" max="4" width="29.6640625" customWidth="1"/>
    <col min="5" max="5" width="26.33203125" customWidth="1"/>
    <col min="6" max="6" width="19.33203125" customWidth="1"/>
  </cols>
  <sheetData>
    <row r="1" spans="1:5" x14ac:dyDescent="0.3">
      <c r="A1" s="1" t="s">
        <v>81</v>
      </c>
      <c r="B1" s="29">
        <f>Prävalenzschätzer!F13</f>
        <v>1.1182917365130149E-2</v>
      </c>
      <c r="C1" t="s">
        <v>33</v>
      </c>
    </row>
    <row r="2" spans="1:5" ht="29.4" thickBot="1" x14ac:dyDescent="0.35">
      <c r="A2" s="1" t="s">
        <v>98</v>
      </c>
      <c r="B2" s="29">
        <f>Prävalenzschätzer!H13</f>
        <v>1.3893083573491135E-2</v>
      </c>
      <c r="C2" t="s">
        <v>99</v>
      </c>
    </row>
    <row r="3" spans="1:5" x14ac:dyDescent="0.3">
      <c r="A3" s="1" t="s">
        <v>34</v>
      </c>
      <c r="B3" s="26">
        <v>0.7</v>
      </c>
      <c r="C3" t="s">
        <v>35</v>
      </c>
    </row>
    <row r="4" spans="1:5" ht="15" thickBot="1" x14ac:dyDescent="0.35">
      <c r="A4" s="1" t="s">
        <v>36</v>
      </c>
      <c r="B4" s="31">
        <v>0.995</v>
      </c>
      <c r="C4" t="s">
        <v>37</v>
      </c>
    </row>
    <row r="5" spans="1:5" x14ac:dyDescent="0.3">
      <c r="A5" s="1" t="s">
        <v>38</v>
      </c>
      <c r="B5" s="30">
        <f>Prävalenzschätzer!F15</f>
        <v>6.4978423810077901E-2</v>
      </c>
      <c r="E5" t="s">
        <v>76</v>
      </c>
    </row>
    <row r="6" spans="1:5" x14ac:dyDescent="0.3">
      <c r="A6" s="1" t="s">
        <v>39</v>
      </c>
      <c r="B6" s="30">
        <f>Prävalenzschätzer!F17</f>
        <v>9.1055034763557322E-2</v>
      </c>
      <c r="E6" t="s">
        <v>77</v>
      </c>
    </row>
    <row r="7" spans="1:5" x14ac:dyDescent="0.3">
      <c r="A7" s="1" t="s">
        <v>40</v>
      </c>
      <c r="B7" s="30">
        <f>Prävalenzschätzer!F19</f>
        <v>0.64889348985902584</v>
      </c>
      <c r="E7" t="s">
        <v>77</v>
      </c>
    </row>
    <row r="8" spans="1:5" ht="15" thickBot="1" x14ac:dyDescent="0.35">
      <c r="A8" s="1" t="s">
        <v>94</v>
      </c>
      <c r="B8" s="30">
        <f>Prävalenzschätzer!F21</f>
        <v>0.19507305156733895</v>
      </c>
      <c r="E8" t="s">
        <v>95</v>
      </c>
    </row>
    <row r="9" spans="1:5" x14ac:dyDescent="0.3">
      <c r="A9" s="1" t="s">
        <v>66</v>
      </c>
      <c r="B9" s="37">
        <v>5</v>
      </c>
      <c r="C9" t="s">
        <v>47</v>
      </c>
    </row>
    <row r="10" spans="1:5" x14ac:dyDescent="0.3">
      <c r="A10" s="1" t="s">
        <v>67</v>
      </c>
      <c r="B10" s="38">
        <v>14</v>
      </c>
      <c r="C10" t="s">
        <v>47</v>
      </c>
    </row>
    <row r="11" spans="1:5" ht="16.95" thickBot="1" x14ac:dyDescent="0.25">
      <c r="A11" s="1" t="s">
        <v>63</v>
      </c>
      <c r="B11" s="31">
        <v>0.2</v>
      </c>
      <c r="C11" t="s">
        <v>62</v>
      </c>
    </row>
    <row r="12" spans="1:5" ht="16.05" x14ac:dyDescent="0.2">
      <c r="A12" s="1" t="s">
        <v>41</v>
      </c>
      <c r="B12" s="28">
        <f>(1-B2)*(1-B4)+ B3*B2*(B6+B7+B8)+(1-B4)*B2*B5</f>
        <v>1.4028281366211679E-2</v>
      </c>
      <c r="C12" s="40">
        <f>1/B12</f>
        <v>71.28456964148053</v>
      </c>
      <c r="D12" s="36" t="s">
        <v>71</v>
      </c>
    </row>
    <row r="13" spans="1:5" x14ac:dyDescent="0.3">
      <c r="A13" s="1" t="s">
        <v>70</v>
      </c>
      <c r="B13" s="28">
        <f>(1-B2)*B4+B2*(B7+B6+B8)*(1-B3) + B5*B2*B4</f>
        <v>0.9859717186337883</v>
      </c>
      <c r="C13" s="40">
        <f>1/(B2*(B7+B6)*B3 + (1-B4)*B5*B2)</f>
        <v>138.87672872242362</v>
      </c>
      <c r="D13" s="36" t="s">
        <v>83</v>
      </c>
    </row>
    <row r="14" spans="1:5" x14ac:dyDescent="0.3">
      <c r="A14" s="32" t="s">
        <v>42</v>
      </c>
      <c r="B14" s="28">
        <f>(B4*(1-B2))/B13</f>
        <v>0.99513643576302913</v>
      </c>
      <c r="C14" s="39">
        <f>(B1*(B7+B6)*B3+(1-B4)*B1*B5)/B12</f>
        <v>0.41316404583907651</v>
      </c>
      <c r="D14" s="36" t="s">
        <v>82</v>
      </c>
    </row>
    <row r="15" spans="1:5" ht="15" x14ac:dyDescent="0.2">
      <c r="B15" s="28"/>
    </row>
    <row r="16" spans="1:5" ht="22.95" thickBot="1" x14ac:dyDescent="0.3">
      <c r="A16" s="35" t="s">
        <v>57</v>
      </c>
      <c r="B16" s="28"/>
      <c r="E16" s="35" t="s">
        <v>60</v>
      </c>
    </row>
    <row r="17" spans="1:16384" ht="18.600000000000001" thickBot="1" x14ac:dyDescent="0.4">
      <c r="A17" s="32" t="s">
        <v>43</v>
      </c>
      <c r="B17" s="33">
        <f>(1-B3)*B1*(B6+B7)+B5*B1*B4</f>
        <v>3.2054500638558801E-3</v>
      </c>
      <c r="C17" t="s">
        <v>72</v>
      </c>
      <c r="E17" s="33">
        <f>(1-B3)*B1*(B6+B7*B11)+B5*B1*B4</f>
        <v>1.4638847176484226E-3</v>
      </c>
      <c r="F17" t="s">
        <v>73</v>
      </c>
    </row>
    <row r="18" spans="1:16384" ht="18.600000000000001" thickBot="1" x14ac:dyDescent="0.4">
      <c r="A18" s="32" t="s">
        <v>44</v>
      </c>
      <c r="B18" s="34">
        <f>B1/B17</f>
        <v>3.4887198809386732</v>
      </c>
      <c r="E18" s="34">
        <f>B1/E17</f>
        <v>7.6392063051893411</v>
      </c>
      <c r="F18" t="s">
        <v>45</v>
      </c>
    </row>
    <row r="19" spans="1:16384" ht="57" customHeight="1" thickBot="1" x14ac:dyDescent="0.4">
      <c r="A19" s="35" t="s">
        <v>69</v>
      </c>
      <c r="B19" s="27"/>
      <c r="E19" s="35" t="s">
        <v>61</v>
      </c>
    </row>
    <row r="20" spans="1:16384" ht="18.600000000000001" thickBot="1" x14ac:dyDescent="0.4">
      <c r="A20" s="32" t="s">
        <v>43</v>
      </c>
      <c r="B20" s="33">
        <f>(1-B3)*B17*(L21+M21)+K21*B17*B4</f>
        <v>3.7008727949682207E-4</v>
      </c>
      <c r="C20" t="s">
        <v>75</v>
      </c>
      <c r="E20" s="33">
        <f>(1-B3)*E17*(L21+M21*B11)+K21*E17*B4</f>
        <v>4.862253150307353E-5</v>
      </c>
      <c r="F20" t="s">
        <v>74</v>
      </c>
      <c r="K20" t="s">
        <v>49</v>
      </c>
      <c r="L20" t="s">
        <v>50</v>
      </c>
      <c r="M20" t="s">
        <v>48</v>
      </c>
    </row>
    <row r="21" spans="1:16384" ht="30" thickBot="1" x14ac:dyDescent="0.4">
      <c r="A21" s="32" t="s">
        <v>46</v>
      </c>
      <c r="B21" s="34">
        <f>B1/B20</f>
        <v>30.216973088982314</v>
      </c>
      <c r="C21" t="s">
        <v>84</v>
      </c>
      <c r="E21" s="34">
        <f>B1/E20</f>
        <v>229.99455230798202</v>
      </c>
      <c r="F21" t="s">
        <v>84</v>
      </c>
      <c r="K21" s="27">
        <f>B5*EXP(-B9*Prävalenzschätzer!B3)</f>
        <v>8.793873390605552E-3</v>
      </c>
      <c r="L21" s="27">
        <f>B6*EXP(-B9*Prävalenzschätzer!B5)*(1+B5*(1-EXP(-B9*Prävalenzschätzer!B3)))</f>
        <v>1.3015318826594801E-2</v>
      </c>
      <c r="M21" s="27">
        <f>B7*EXP(-B9*Prävalenzschätzer!B7)*(1+B6*(1-EXP(-B9*Prävalenzschätzer!B5)))</f>
        <v>0.34267045828393439</v>
      </c>
    </row>
    <row r="22" spans="1:16384" x14ac:dyDescent="0.3">
      <c r="A22" s="1" t="s">
        <v>87</v>
      </c>
      <c r="B22" s="41">
        <f>B21-B23</f>
        <v>27.473335690776221</v>
      </c>
      <c r="C22" s="46" t="s">
        <v>87</v>
      </c>
      <c r="E22" s="41">
        <f>E21-E23</f>
        <v>226.83092857980211</v>
      </c>
      <c r="F22" s="1" t="s">
        <v>87</v>
      </c>
      <c r="K22" s="27">
        <f>B5*EXP(-B10*Prävalenzschätzer!B3)</f>
        <v>2.4028135576153751E-4</v>
      </c>
      <c r="L22" s="27">
        <f>B6*EXP(-B10*Prävalenzschätzer!B5)*(1+B5*(1-EXP(-B10*Prävalenzschätzer!B3)))</f>
        <v>3.5850703153588273E-4</v>
      </c>
      <c r="M22" s="27">
        <f>B7*EXP(-B10*Prävalenzschätzer!B7)*(1+B6*(1-EXP(-B10*Prävalenzschätzer!B5)))</f>
        <v>9.5784902876761363E-2</v>
      </c>
    </row>
    <row r="23" spans="1:16384" x14ac:dyDescent="0.3">
      <c r="A23" s="1" t="s">
        <v>88</v>
      </c>
      <c r="B23" s="41">
        <f>1/(K21+L21+M21)</f>
        <v>2.7436373982060944</v>
      </c>
      <c r="C23" s="46" t="s">
        <v>88</v>
      </c>
      <c r="E23" s="41">
        <f>(B5+B6+B7*B11)/(K21+L21+M21*B11)</f>
        <v>3.1636237281799198</v>
      </c>
      <c r="F23" s="1" t="s">
        <v>88</v>
      </c>
    </row>
    <row r="24" spans="1:16384" ht="19.8" x14ac:dyDescent="0.35">
      <c r="A24" s="35" t="s">
        <v>86</v>
      </c>
      <c r="B24" s="27"/>
      <c r="E24" s="35" t="s">
        <v>85</v>
      </c>
    </row>
    <row r="25" spans="1:16384" ht="16.95" thickBot="1" x14ac:dyDescent="0.25">
      <c r="A25" s="32" t="s">
        <v>43</v>
      </c>
    </row>
    <row r="26" spans="1:16384" ht="18.600000000000001" thickBot="1" x14ac:dyDescent="0.4">
      <c r="B26" s="33">
        <f>(1-B3)*B1*(L21+M21)+K21*B1*B4</f>
        <v>1.2911308496630705E-3</v>
      </c>
      <c r="C26" t="s">
        <v>75</v>
      </c>
      <c r="E26" s="33">
        <f>(1-B3)*B1*(L21+M21*B11)+K21*B1*B4</f>
        <v>3.7143754923254666E-4</v>
      </c>
      <c r="F26" t="s">
        <v>74</v>
      </c>
    </row>
    <row r="27" spans="1:16384" ht="30" thickBot="1" x14ac:dyDescent="0.4">
      <c r="A27" s="32" t="s">
        <v>46</v>
      </c>
      <c r="B27" s="34">
        <f>B1/B26</f>
        <v>8.6613354239412743</v>
      </c>
      <c r="C27" t="s">
        <v>84</v>
      </c>
      <c r="E27" s="34">
        <f>B1/E26</f>
        <v>30.10712672489888</v>
      </c>
      <c r="F27" t="s">
        <v>84</v>
      </c>
    </row>
    <row r="28" spans="1:16384" x14ac:dyDescent="0.3">
      <c r="A28" s="1" t="s">
        <v>87</v>
      </c>
      <c r="B28" s="42">
        <f>B27-B29</f>
        <v>5.9176980257351799</v>
      </c>
      <c r="C28" s="46" t="s">
        <v>87</v>
      </c>
      <c r="D28" s="1"/>
      <c r="E28" s="42">
        <f>E27-E29</f>
        <v>26.943502996718959</v>
      </c>
      <c r="F28" s="1" t="s">
        <v>87</v>
      </c>
    </row>
    <row r="29" spans="1:16384" x14ac:dyDescent="0.3">
      <c r="A29" s="1" t="s">
        <v>88</v>
      </c>
      <c r="B29" s="42">
        <f>1/(K21+L21+M21)</f>
        <v>2.7436373982060944</v>
      </c>
      <c r="C29" s="46" t="s">
        <v>88</v>
      </c>
      <c r="D29" s="1"/>
      <c r="E29" s="42">
        <f>(B5+B6+B7*B11)/(K21+L21+M21*B11)</f>
        <v>3.1636237281799198</v>
      </c>
      <c r="F29" s="1" t="s">
        <v>88</v>
      </c>
      <c r="G29" s="1"/>
      <c r="H29" s="1"/>
      <c r="I29" s="1"/>
    </row>
    <row r="30" spans="1:16384" ht="20.399999999999999" thickBot="1" x14ac:dyDescent="0.4">
      <c r="A30" s="35" t="s">
        <v>68</v>
      </c>
      <c r="E30" s="35" t="s">
        <v>59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  <c r="XFD30" s="1"/>
    </row>
    <row r="31" spans="1:16384" ht="18.600000000000001" thickBot="1" x14ac:dyDescent="0.4">
      <c r="A31" s="32" t="s">
        <v>52</v>
      </c>
      <c r="B31" s="33">
        <f>(K22+L22+M22)*B1</f>
        <v>1.0778508547521859E-3</v>
      </c>
      <c r="C31" t="s">
        <v>54</v>
      </c>
      <c r="E31" s="33">
        <f>(K22+L22+M22*B11)*B1</f>
        <v>2.2092713179391448E-4</v>
      </c>
      <c r="F31" t="s">
        <v>65</v>
      </c>
    </row>
    <row r="32" spans="1:16384" ht="18.600000000000001" thickBot="1" x14ac:dyDescent="0.4">
      <c r="A32" s="32" t="s">
        <v>53</v>
      </c>
      <c r="B32" s="34">
        <f>B1/B31</f>
        <v>10.375199236355636</v>
      </c>
      <c r="C32" t="s">
        <v>84</v>
      </c>
      <c r="E32" s="34">
        <f>B1/E31</f>
        <v>50.61812586949172</v>
      </c>
      <c r="F32" t="s">
        <v>84</v>
      </c>
    </row>
    <row r="36" spans="1:1" ht="30.6" x14ac:dyDescent="0.3">
      <c r="A36" s="1" t="s">
        <v>58</v>
      </c>
    </row>
    <row r="37" spans="1:1" ht="88.2" x14ac:dyDescent="0.3">
      <c r="A37" s="1" t="s">
        <v>64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Prävalenzschätzer</vt:lpstr>
      <vt:lpstr>TestStrategie</vt:lpstr>
    </vt:vector>
  </TitlesOfParts>
  <Company>Robert Koch-Institut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Kleist, Max</dc:creator>
  <cp:lastModifiedBy>von Kleist, Max</cp:lastModifiedBy>
  <dcterms:created xsi:type="dcterms:W3CDTF">2020-07-24T09:03:45Z</dcterms:created>
  <dcterms:modified xsi:type="dcterms:W3CDTF">2020-08-11T18:18:33Z</dcterms:modified>
</cp:coreProperties>
</file>